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16" yWindow="108" windowWidth="16608" windowHeight="9432" tabRatio="938" firstSheet="14" activeTab="3"/>
  </bookViews>
  <sheets>
    <sheet name="Table 1" sheetId="5" r:id="rId1"/>
    <sheet name="Table 2" sheetId="19" r:id="rId2"/>
    <sheet name="Table 3" sheetId="24" r:id="rId3"/>
    <sheet name=" Fig. 2c " sheetId="1" r:id="rId4"/>
    <sheet name="Fig. 2d" sheetId="21" r:id="rId5"/>
    <sheet name="Figure 3a" sheetId="2" r:id="rId6"/>
    <sheet name="Figure 3b" sheetId="35" r:id="rId7"/>
    <sheet name="Figure 3c" sheetId="36" r:id="rId8"/>
    <sheet name="Figure 3d" sheetId="37" r:id="rId9"/>
    <sheet name="Figure 3e" sheetId="38" r:id="rId10"/>
    <sheet name="Figure 4a" sheetId="3" r:id="rId11"/>
    <sheet name="Figure 5a" sheetId="4" r:id="rId12"/>
    <sheet name="Figure 5b" sheetId="25" r:id="rId13"/>
    <sheet name="Figure 5c" sheetId="26" r:id="rId14"/>
    <sheet name="Figure 5d" sheetId="27" r:id="rId15"/>
    <sheet name="Figure 5g" sheetId="28" r:id="rId16"/>
    <sheet name="Supplementary Table 2" sheetId="22" r:id="rId17"/>
    <sheet name="Supplementary Table 3" sheetId="23" r:id="rId18"/>
    <sheet name="Supplementary Table 4" sheetId="6" r:id="rId19"/>
    <sheet name="Supplementary Table 5" sheetId="12" r:id="rId20"/>
    <sheet name="Supplementary Table 6" sheetId="7" r:id="rId21"/>
    <sheet name="Supplementary Table 8" sheetId="18" r:id="rId22"/>
    <sheet name="Supplementary Figure 1" sheetId="9" r:id="rId23"/>
    <sheet name="Supplementary Figure 2 " sheetId="10" r:id="rId24"/>
    <sheet name="Supplementary Figure 3a" sheetId="8" r:id="rId25"/>
    <sheet name="Supplementary Figure 3b" sheetId="29" r:id="rId26"/>
    <sheet name="Supplementary Figure 4a" sheetId="17" r:id="rId27"/>
    <sheet name="Supplementary Figure 4b" sheetId="39" r:id="rId28"/>
    <sheet name="Supplementary Figure 6" sheetId="14" r:id="rId29"/>
    <sheet name="Supplementary Figure 7" sheetId="16" r:id="rId30"/>
    <sheet name=" Supplementary Figure 8a" sheetId="11" r:id="rId31"/>
    <sheet name="Supplementary figure 8b" sheetId="30" r:id="rId32"/>
    <sheet name="Supplementary Figure 10a" sheetId="13" r:id="rId33"/>
    <sheet name="Supplementary Figure 10b" sheetId="31" r:id="rId34"/>
    <sheet name="Supplementary Figure 12a" sheetId="20" r:id="rId35"/>
    <sheet name="Supplementary Figure 12b" sheetId="32" r:id="rId36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4" i="20" l="1"/>
  <c r="C205" i="20"/>
  <c r="C206" i="20"/>
  <c r="C207" i="20"/>
  <c r="C208" i="20"/>
  <c r="C209" i="20"/>
  <c r="C203" i="20"/>
  <c r="D9" i="32"/>
  <c r="D12" i="32"/>
  <c r="D13" i="32"/>
  <c r="C329" i="20"/>
  <c r="C338" i="20"/>
  <c r="C331" i="20"/>
  <c r="C333" i="20"/>
  <c r="C335" i="20"/>
  <c r="E338" i="20"/>
  <c r="D338" i="20"/>
  <c r="C314" i="20"/>
  <c r="C323" i="20"/>
  <c r="C316" i="20"/>
  <c r="C318" i="20"/>
  <c r="C320" i="20"/>
  <c r="E323" i="20"/>
  <c r="D323" i="20"/>
  <c r="C299" i="20"/>
  <c r="C308" i="20"/>
  <c r="C301" i="20"/>
  <c r="C303" i="20"/>
  <c r="C305" i="20"/>
  <c r="E308" i="20"/>
  <c r="D308" i="20"/>
  <c r="C284" i="20"/>
  <c r="C293" i="20"/>
  <c r="C286" i="20"/>
  <c r="C288" i="20"/>
  <c r="C290" i="20"/>
  <c r="E293" i="20"/>
  <c r="D293" i="20"/>
  <c r="C269" i="20"/>
  <c r="C278" i="20"/>
  <c r="C271" i="20"/>
  <c r="C273" i="20"/>
  <c r="C275" i="20"/>
  <c r="E278" i="20"/>
  <c r="D278" i="20"/>
  <c r="C254" i="20"/>
  <c r="C263" i="20"/>
  <c r="C256" i="20"/>
  <c r="C258" i="20"/>
  <c r="C260" i="20"/>
  <c r="E263" i="20"/>
  <c r="D263" i="20"/>
  <c r="C239" i="20"/>
  <c r="C248" i="20"/>
  <c r="C241" i="20"/>
  <c r="C243" i="20"/>
  <c r="E248" i="20"/>
  <c r="D248" i="20"/>
  <c r="C224" i="20"/>
  <c r="C233" i="20"/>
  <c r="C226" i="20"/>
  <c r="C228" i="20"/>
  <c r="C230" i="20"/>
  <c r="E233" i="20"/>
  <c r="D233" i="20"/>
  <c r="C74" i="20"/>
  <c r="B74" i="20"/>
  <c r="B75" i="20"/>
  <c r="B93" i="20"/>
  <c r="G93" i="20"/>
  <c r="D123" i="20"/>
  <c r="D93" i="20"/>
  <c r="B94" i="20"/>
  <c r="E94" i="20"/>
  <c r="F93" i="20"/>
  <c r="B95" i="20"/>
  <c r="G95" i="20"/>
  <c r="D125" i="20"/>
  <c r="D95" i="20"/>
  <c r="B96" i="20"/>
  <c r="E96" i="20"/>
  <c r="F95" i="20"/>
  <c r="B97" i="20"/>
  <c r="G97" i="20"/>
  <c r="D127" i="20"/>
  <c r="D97" i="20"/>
  <c r="B98" i="20"/>
  <c r="E98" i="20"/>
  <c r="F97" i="20"/>
  <c r="B99" i="20"/>
  <c r="G99" i="20"/>
  <c r="D129" i="20"/>
  <c r="D99" i="20"/>
  <c r="B100" i="20"/>
  <c r="E100" i="20"/>
  <c r="F99" i="20"/>
  <c r="D134" i="20"/>
  <c r="E134" i="20"/>
  <c r="F5" i="36"/>
  <c r="G5" i="36"/>
  <c r="K5" i="36"/>
  <c r="L5" i="36"/>
  <c r="K6" i="38"/>
  <c r="L6" i="38"/>
  <c r="F6" i="38"/>
  <c r="G6" i="38"/>
  <c r="K5" i="38"/>
  <c r="L5" i="38"/>
  <c r="F5" i="38"/>
  <c r="G5" i="38"/>
  <c r="K5" i="37"/>
  <c r="L5" i="37"/>
  <c r="F5" i="37"/>
  <c r="G5" i="37"/>
  <c r="K5" i="35"/>
  <c r="L5" i="35"/>
  <c r="F5" i="35"/>
  <c r="G5" i="35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5" i="3"/>
  <c r="P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5" i="3"/>
  <c r="S7" i="22"/>
  <c r="T7" i="22"/>
  <c r="L7" i="22"/>
  <c r="E7" i="22"/>
  <c r="E5" i="22"/>
  <c r="H7" i="22"/>
  <c r="S6" i="22"/>
  <c r="U7" i="22"/>
  <c r="L6" i="22"/>
  <c r="E6" i="22"/>
  <c r="S5" i="22"/>
  <c r="V7" i="22"/>
  <c r="L5" i="22"/>
  <c r="M5" i="22"/>
  <c r="H5" i="22"/>
  <c r="F5" i="22"/>
  <c r="S4" i="22"/>
  <c r="L4" i="22"/>
  <c r="M4" i="22"/>
  <c r="E4" i="22"/>
  <c r="G5" i="22"/>
  <c r="S8" i="1"/>
  <c r="T8" i="1"/>
  <c r="L8" i="1"/>
  <c r="M8" i="1"/>
  <c r="E8" i="1"/>
  <c r="F8" i="1"/>
  <c r="S7" i="1"/>
  <c r="T7" i="1"/>
  <c r="L7" i="1"/>
  <c r="M7" i="1"/>
  <c r="E7" i="1"/>
  <c r="F7" i="1"/>
  <c r="S6" i="1"/>
  <c r="T6" i="1"/>
  <c r="L6" i="1"/>
  <c r="M6" i="1"/>
  <c r="E6" i="1"/>
  <c r="F6" i="1"/>
  <c r="S5" i="1"/>
  <c r="T5" i="1"/>
  <c r="L5" i="1"/>
  <c r="M5" i="1"/>
  <c r="E5" i="1"/>
  <c r="F5" i="1"/>
  <c r="S7" i="23"/>
  <c r="T7" i="23"/>
  <c r="L7" i="23"/>
  <c r="M7" i="23"/>
  <c r="E7" i="23"/>
  <c r="F7" i="23"/>
  <c r="S6" i="23"/>
  <c r="T6" i="23"/>
  <c r="L6" i="23"/>
  <c r="M6" i="23"/>
  <c r="E6" i="23"/>
  <c r="F6" i="23"/>
  <c r="S5" i="23"/>
  <c r="T5" i="23"/>
  <c r="L5" i="23"/>
  <c r="M5" i="23"/>
  <c r="E5" i="23"/>
  <c r="F5" i="23"/>
  <c r="S4" i="23"/>
  <c r="T4" i="23"/>
  <c r="L4" i="23"/>
  <c r="M4" i="23"/>
  <c r="E4" i="23"/>
  <c r="F4" i="23"/>
  <c r="S8" i="21"/>
  <c r="T8" i="21"/>
  <c r="L8" i="21"/>
  <c r="M8" i="21"/>
  <c r="E8" i="21"/>
  <c r="F8" i="21"/>
  <c r="S7" i="21"/>
  <c r="T7" i="21"/>
  <c r="L7" i="21"/>
  <c r="M7" i="21"/>
  <c r="E7" i="21"/>
  <c r="F7" i="21"/>
  <c r="S6" i="21"/>
  <c r="T6" i="21"/>
  <c r="L6" i="21"/>
  <c r="M6" i="21"/>
  <c r="E6" i="21"/>
  <c r="F6" i="21"/>
  <c r="S5" i="21"/>
  <c r="T5" i="21"/>
  <c r="L5" i="21"/>
  <c r="M5" i="21"/>
  <c r="E5" i="21"/>
  <c r="F5" i="21"/>
  <c r="O5" i="22"/>
  <c r="O6" i="22"/>
  <c r="U5" i="22"/>
  <c r="V5" i="22"/>
  <c r="N5" i="22"/>
  <c r="H6" i="22"/>
  <c r="O7" i="22"/>
  <c r="F4" i="22"/>
  <c r="T4" i="22"/>
  <c r="F6" i="22"/>
  <c r="M6" i="22"/>
  <c r="T6" i="22"/>
  <c r="F7" i="22"/>
  <c r="M7" i="22"/>
  <c r="Q31" i="3"/>
  <c r="R31" i="3"/>
  <c r="Q27" i="3"/>
  <c r="R27" i="3"/>
  <c r="Q23" i="3"/>
  <c r="R23" i="3"/>
  <c r="Q19" i="3"/>
  <c r="R19" i="3"/>
  <c r="Q15" i="3"/>
  <c r="R15" i="3"/>
  <c r="Q11" i="3"/>
  <c r="R11" i="3"/>
  <c r="Q7" i="3"/>
  <c r="R7" i="3"/>
  <c r="T5" i="22"/>
  <c r="G6" i="22"/>
  <c r="N6" i="22"/>
  <c r="U6" i="22"/>
  <c r="G7" i="22"/>
  <c r="N7" i="22"/>
  <c r="Q5" i="3"/>
  <c r="R5" i="3"/>
  <c r="Q30" i="3"/>
  <c r="R30" i="3"/>
  <c r="Q26" i="3"/>
  <c r="R26" i="3"/>
  <c r="Q22" i="3"/>
  <c r="R22" i="3"/>
  <c r="Q18" i="3"/>
  <c r="R18" i="3"/>
  <c r="Q14" i="3"/>
  <c r="R14" i="3"/>
  <c r="Q10" i="3"/>
  <c r="R10" i="3"/>
  <c r="Q6" i="3"/>
  <c r="R6" i="3"/>
  <c r="V6" i="22"/>
  <c r="Q33" i="3"/>
  <c r="R33" i="3"/>
  <c r="Q29" i="3"/>
  <c r="R29" i="3"/>
  <c r="Q25" i="3"/>
  <c r="R25" i="3"/>
  <c r="Q21" i="3"/>
  <c r="R21" i="3"/>
  <c r="Q17" i="3"/>
  <c r="R17" i="3"/>
  <c r="Q13" i="3"/>
  <c r="R13" i="3"/>
  <c r="Q9" i="3"/>
  <c r="R9" i="3"/>
  <c r="Q32" i="3"/>
  <c r="R32" i="3"/>
  <c r="Q28" i="3"/>
  <c r="R28" i="3"/>
  <c r="Q24" i="3"/>
  <c r="R24" i="3"/>
  <c r="Q20" i="3"/>
  <c r="R20" i="3"/>
  <c r="Q16" i="3"/>
  <c r="R16" i="3"/>
  <c r="Q12" i="3"/>
  <c r="R12" i="3"/>
  <c r="Q8" i="3"/>
  <c r="R8" i="3"/>
  <c r="H6" i="1"/>
  <c r="O6" i="1"/>
  <c r="V6" i="1"/>
  <c r="H7" i="1"/>
  <c r="O7" i="1"/>
  <c r="V7" i="1"/>
  <c r="H8" i="1"/>
  <c r="O8" i="1"/>
  <c r="V8" i="1"/>
  <c r="G6" i="1"/>
  <c r="N6" i="1"/>
  <c r="U6" i="1"/>
  <c r="G7" i="1"/>
  <c r="N7" i="1"/>
  <c r="U7" i="1"/>
  <c r="G8" i="1"/>
  <c r="N8" i="1"/>
  <c r="U8" i="1"/>
  <c r="D143" i="32"/>
  <c r="E143" i="32"/>
  <c r="D140" i="32"/>
  <c r="D138" i="32"/>
  <c r="D136" i="32"/>
  <c r="D134" i="32"/>
  <c r="D128" i="32"/>
  <c r="E128" i="32"/>
  <c r="D125" i="32"/>
  <c r="D123" i="32"/>
  <c r="D121" i="32"/>
  <c r="D119" i="32"/>
  <c r="F128" i="32"/>
  <c r="D113" i="32"/>
  <c r="E113" i="32"/>
  <c r="D110" i="32"/>
  <c r="D108" i="32"/>
  <c r="D106" i="32"/>
  <c r="D104" i="32"/>
  <c r="D98" i="32"/>
  <c r="E98" i="32"/>
  <c r="D95" i="32"/>
  <c r="D93" i="32"/>
  <c r="D91" i="32"/>
  <c r="D89" i="32"/>
  <c r="D83" i="32"/>
  <c r="E83" i="32"/>
  <c r="D80" i="32"/>
  <c r="D78" i="32"/>
  <c r="D76" i="32"/>
  <c r="D74" i="32"/>
  <c r="D68" i="32"/>
  <c r="E68" i="32"/>
  <c r="D65" i="32"/>
  <c r="D63" i="32"/>
  <c r="D61" i="32"/>
  <c r="D59" i="32"/>
  <c r="D53" i="32"/>
  <c r="E53" i="32"/>
  <c r="D50" i="32"/>
  <c r="D48" i="32"/>
  <c r="D46" i="32"/>
  <c r="D44" i="32"/>
  <c r="D38" i="32"/>
  <c r="E38" i="32"/>
  <c r="D35" i="32"/>
  <c r="D33" i="32"/>
  <c r="D31" i="32"/>
  <c r="D29" i="32"/>
  <c r="D15" i="32"/>
  <c r="D14" i="32"/>
  <c r="D11" i="32"/>
  <c r="D10" i="32"/>
  <c r="Q94" i="31"/>
  <c r="Q95" i="31"/>
  <c r="Q96" i="31"/>
  <c r="J94" i="31"/>
  <c r="J95" i="31"/>
  <c r="J96" i="31"/>
  <c r="C94" i="31"/>
  <c r="C95" i="31"/>
  <c r="C96" i="31"/>
  <c r="R93" i="31"/>
  <c r="S93" i="31"/>
  <c r="K93" i="31"/>
  <c r="L93" i="31"/>
  <c r="D93" i="31"/>
  <c r="E93" i="31"/>
  <c r="R90" i="31"/>
  <c r="K90" i="31"/>
  <c r="D90" i="31"/>
  <c r="R88" i="31"/>
  <c r="K88" i="31"/>
  <c r="D88" i="31"/>
  <c r="R86" i="31"/>
  <c r="K86" i="31"/>
  <c r="D86" i="31"/>
  <c r="R84" i="31"/>
  <c r="K84" i="31"/>
  <c r="D84" i="31"/>
  <c r="Q73" i="31"/>
  <c r="Q74" i="31"/>
  <c r="Q75" i="31"/>
  <c r="J73" i="31"/>
  <c r="J74" i="31"/>
  <c r="J75" i="31"/>
  <c r="C73" i="31"/>
  <c r="C74" i="31"/>
  <c r="C75" i="31"/>
  <c r="R72" i="31"/>
  <c r="S72" i="31"/>
  <c r="S73" i="31"/>
  <c r="S74" i="31"/>
  <c r="S75" i="31"/>
  <c r="K72" i="31"/>
  <c r="L72" i="31"/>
  <c r="D72" i="31"/>
  <c r="E72" i="31"/>
  <c r="R69" i="31"/>
  <c r="K69" i="31"/>
  <c r="D69" i="31"/>
  <c r="R67" i="31"/>
  <c r="K67" i="31"/>
  <c r="D67" i="31"/>
  <c r="R65" i="31"/>
  <c r="K65" i="31"/>
  <c r="D65" i="31"/>
  <c r="R63" i="31"/>
  <c r="K63" i="31"/>
  <c r="D63" i="31"/>
  <c r="Q53" i="31"/>
  <c r="Q54" i="31"/>
  <c r="Q55" i="31"/>
  <c r="J53" i="31"/>
  <c r="J54" i="31"/>
  <c r="J55" i="31"/>
  <c r="C53" i="31"/>
  <c r="C54" i="31"/>
  <c r="C55" i="31"/>
  <c r="R52" i="31"/>
  <c r="S52" i="31"/>
  <c r="S53" i="31"/>
  <c r="S54" i="31"/>
  <c r="S55" i="31"/>
  <c r="K52" i="31"/>
  <c r="L52" i="31"/>
  <c r="D52" i="31"/>
  <c r="E52" i="31"/>
  <c r="R49" i="31"/>
  <c r="K49" i="31"/>
  <c r="D49" i="31"/>
  <c r="R47" i="31"/>
  <c r="K47" i="31"/>
  <c r="D47" i="31"/>
  <c r="R45" i="31"/>
  <c r="K45" i="31"/>
  <c r="D45" i="31"/>
  <c r="R43" i="31"/>
  <c r="K43" i="31"/>
  <c r="D43" i="31"/>
  <c r="Q33" i="31"/>
  <c r="Q34" i="31"/>
  <c r="Q35" i="31"/>
  <c r="J33" i="31"/>
  <c r="C33" i="31"/>
  <c r="C34" i="31"/>
  <c r="C35" i="31"/>
  <c r="R32" i="31"/>
  <c r="S32" i="31"/>
  <c r="K32" i="31"/>
  <c r="L32" i="31"/>
  <c r="D32" i="31"/>
  <c r="E32" i="31"/>
  <c r="R29" i="31"/>
  <c r="K29" i="31"/>
  <c r="D29" i="31"/>
  <c r="R27" i="31"/>
  <c r="K27" i="31"/>
  <c r="D27" i="31"/>
  <c r="R25" i="31"/>
  <c r="K25" i="31"/>
  <c r="D25" i="31"/>
  <c r="R23" i="31"/>
  <c r="K23" i="31"/>
  <c r="D23" i="31"/>
  <c r="J10" i="31"/>
  <c r="K10" i="31"/>
  <c r="E10" i="31"/>
  <c r="F10" i="31"/>
  <c r="J9" i="31"/>
  <c r="K9" i="31"/>
  <c r="E9" i="31"/>
  <c r="F9" i="31"/>
  <c r="J8" i="31"/>
  <c r="K8" i="31"/>
  <c r="E8" i="31"/>
  <c r="F8" i="31"/>
  <c r="J7" i="31"/>
  <c r="K7" i="31"/>
  <c r="E7" i="31"/>
  <c r="F7" i="31"/>
  <c r="I54" i="30"/>
  <c r="H54" i="30"/>
  <c r="G54" i="30"/>
  <c r="D54" i="30"/>
  <c r="C54" i="30"/>
  <c r="B54" i="30"/>
  <c r="J53" i="30"/>
  <c r="E53" i="30"/>
  <c r="J52" i="30"/>
  <c r="E52" i="30"/>
  <c r="J51" i="30"/>
  <c r="J50" i="30"/>
  <c r="J54" i="30"/>
  <c r="E51" i="30"/>
  <c r="E50" i="30"/>
  <c r="I46" i="30"/>
  <c r="H46" i="30"/>
  <c r="G46" i="30"/>
  <c r="D46" i="30"/>
  <c r="C46" i="30"/>
  <c r="B46" i="30"/>
  <c r="J45" i="30"/>
  <c r="E45" i="30"/>
  <c r="J44" i="30"/>
  <c r="E44" i="30"/>
  <c r="J43" i="30"/>
  <c r="E43" i="30"/>
  <c r="J42" i="30"/>
  <c r="E42" i="30"/>
  <c r="J41" i="30"/>
  <c r="E41" i="30"/>
  <c r="J40" i="30"/>
  <c r="E40" i="30"/>
  <c r="J39" i="30"/>
  <c r="E39" i="30"/>
  <c r="J38" i="30"/>
  <c r="E38" i="30"/>
  <c r="J37" i="30"/>
  <c r="E37" i="30"/>
  <c r="I33" i="30"/>
  <c r="H33" i="30"/>
  <c r="G33" i="30"/>
  <c r="D33" i="30"/>
  <c r="C33" i="30"/>
  <c r="B33" i="30"/>
  <c r="J32" i="30"/>
  <c r="E32" i="30"/>
  <c r="J31" i="30"/>
  <c r="E31" i="30"/>
  <c r="J30" i="30"/>
  <c r="E30" i="30"/>
  <c r="J29" i="30"/>
  <c r="E29" i="30"/>
  <c r="J28" i="30"/>
  <c r="E28" i="30"/>
  <c r="J27" i="30"/>
  <c r="E27" i="30"/>
  <c r="J26" i="30"/>
  <c r="E26" i="30"/>
  <c r="J25" i="30"/>
  <c r="E25" i="30"/>
  <c r="J24" i="30"/>
  <c r="E24" i="30"/>
  <c r="I20" i="30"/>
  <c r="H20" i="30"/>
  <c r="G20" i="30"/>
  <c r="D20" i="30"/>
  <c r="C20" i="30"/>
  <c r="B20" i="30"/>
  <c r="J19" i="30"/>
  <c r="J20" i="30"/>
  <c r="E19" i="30"/>
  <c r="E20" i="30"/>
  <c r="I15" i="30"/>
  <c r="H15" i="30"/>
  <c r="G15" i="30"/>
  <c r="D15" i="30"/>
  <c r="C15" i="30"/>
  <c r="B15" i="30"/>
  <c r="J14" i="30"/>
  <c r="E14" i="30"/>
  <c r="J13" i="30"/>
  <c r="E13" i="30"/>
  <c r="J12" i="30"/>
  <c r="E12" i="30"/>
  <c r="J11" i="30"/>
  <c r="E11" i="30"/>
  <c r="J10" i="30"/>
  <c r="E10" i="30"/>
  <c r="J9" i="30"/>
  <c r="E9" i="30"/>
  <c r="J8" i="30"/>
  <c r="E8" i="30"/>
  <c r="J7" i="30"/>
  <c r="E7" i="30"/>
  <c r="J6" i="30"/>
  <c r="E6" i="30"/>
  <c r="Q48" i="29"/>
  <c r="Q49" i="29"/>
  <c r="Q50" i="29"/>
  <c r="J48" i="29"/>
  <c r="J49" i="29"/>
  <c r="J50" i="29"/>
  <c r="C48" i="29"/>
  <c r="C49" i="29"/>
  <c r="C50" i="29"/>
  <c r="R47" i="29"/>
  <c r="S47" i="29"/>
  <c r="K47" i="29"/>
  <c r="L47" i="29"/>
  <c r="L48" i="29"/>
  <c r="L49" i="29"/>
  <c r="L50" i="29"/>
  <c r="G47" i="29"/>
  <c r="D47" i="29"/>
  <c r="E47" i="29"/>
  <c r="E48" i="29"/>
  <c r="E49" i="29"/>
  <c r="E50" i="29"/>
  <c r="R44" i="29"/>
  <c r="K44" i="29"/>
  <c r="F44" i="29"/>
  <c r="D44" i="29"/>
  <c r="F43" i="29"/>
  <c r="R42" i="29"/>
  <c r="K42" i="29"/>
  <c r="F42" i="29"/>
  <c r="D42" i="29"/>
  <c r="F41" i="29"/>
  <c r="R40" i="29"/>
  <c r="K40" i="29"/>
  <c r="F40" i="29"/>
  <c r="D40" i="29"/>
  <c r="F39" i="29"/>
  <c r="R38" i="29"/>
  <c r="K38" i="29"/>
  <c r="F38" i="29"/>
  <c r="D38" i="29"/>
  <c r="F37" i="29"/>
  <c r="Q27" i="29"/>
  <c r="J27" i="29"/>
  <c r="J28" i="29"/>
  <c r="J29" i="29"/>
  <c r="C27" i="29"/>
  <c r="C28" i="29"/>
  <c r="C29" i="29"/>
  <c r="R26" i="29"/>
  <c r="S26" i="29"/>
  <c r="K26" i="29"/>
  <c r="L26" i="29"/>
  <c r="D26" i="29"/>
  <c r="E26" i="29"/>
  <c r="E27" i="29"/>
  <c r="E28" i="29"/>
  <c r="E29" i="29"/>
  <c r="R23" i="29"/>
  <c r="K23" i="29"/>
  <c r="D23" i="29"/>
  <c r="R21" i="29"/>
  <c r="K21" i="29"/>
  <c r="D21" i="29"/>
  <c r="R19" i="29"/>
  <c r="K19" i="29"/>
  <c r="D19" i="29"/>
  <c r="R17" i="29"/>
  <c r="K17" i="29"/>
  <c r="D17" i="29"/>
  <c r="J5" i="29"/>
  <c r="K5" i="29"/>
  <c r="E5" i="29"/>
  <c r="F5" i="29"/>
  <c r="J4" i="29"/>
  <c r="K4" i="29"/>
  <c r="E4" i="29"/>
  <c r="F4" i="29"/>
  <c r="K12" i="28"/>
  <c r="L12" i="28"/>
  <c r="E12" i="28"/>
  <c r="F12" i="28"/>
  <c r="K11" i="28"/>
  <c r="L11" i="28"/>
  <c r="E11" i="28"/>
  <c r="F11" i="28"/>
  <c r="K10" i="28"/>
  <c r="L10" i="28"/>
  <c r="E10" i="28"/>
  <c r="F10" i="28"/>
  <c r="K9" i="28"/>
  <c r="L9" i="28"/>
  <c r="E9" i="28"/>
  <c r="F9" i="28"/>
  <c r="K8" i="28"/>
  <c r="L8" i="28"/>
  <c r="E8" i="28"/>
  <c r="F8" i="28"/>
  <c r="K7" i="28"/>
  <c r="L7" i="28"/>
  <c r="E7" i="28"/>
  <c r="F7" i="28"/>
  <c r="K6" i="28"/>
  <c r="L6" i="28"/>
  <c r="E6" i="28"/>
  <c r="F6" i="28"/>
  <c r="K5" i="28"/>
  <c r="L5" i="28"/>
  <c r="E5" i="28"/>
  <c r="F5" i="28"/>
  <c r="K10" i="27"/>
  <c r="E10" i="27"/>
  <c r="F10" i="27"/>
  <c r="K9" i="27"/>
  <c r="E9" i="27"/>
  <c r="K8" i="27"/>
  <c r="E8" i="27"/>
  <c r="F8" i="27"/>
  <c r="K7" i="27"/>
  <c r="E7" i="27"/>
  <c r="K6" i="27"/>
  <c r="E6" i="27"/>
  <c r="F6" i="27"/>
  <c r="K5" i="27"/>
  <c r="F5" i="27"/>
  <c r="K10" i="26"/>
  <c r="E10" i="26"/>
  <c r="F10" i="26"/>
  <c r="K9" i="26"/>
  <c r="E9" i="26"/>
  <c r="K8" i="26"/>
  <c r="E8" i="26"/>
  <c r="F8" i="26"/>
  <c r="K7" i="26"/>
  <c r="E7" i="26"/>
  <c r="F7" i="26"/>
  <c r="K6" i="26"/>
  <c r="E6" i="26"/>
  <c r="F6" i="26"/>
  <c r="K5" i="26"/>
  <c r="F5" i="26"/>
  <c r="K10" i="25"/>
  <c r="E10" i="25"/>
  <c r="F10" i="25"/>
  <c r="K9" i="25"/>
  <c r="E9" i="25"/>
  <c r="F9" i="25"/>
  <c r="K8" i="25"/>
  <c r="E8" i="25"/>
  <c r="F8" i="25"/>
  <c r="K7" i="25"/>
  <c r="E7" i="25"/>
  <c r="K6" i="25"/>
  <c r="E6" i="25"/>
  <c r="F6" i="25"/>
  <c r="K5" i="25"/>
  <c r="E5" i="25"/>
  <c r="Q5" i="27"/>
  <c r="N5" i="27"/>
  <c r="N9" i="27"/>
  <c r="J15" i="30"/>
  <c r="E33" i="30"/>
  <c r="K33" i="31"/>
  <c r="K34" i="31"/>
  <c r="K35" i="31"/>
  <c r="L53" i="31"/>
  <c r="L54" i="31"/>
  <c r="L55" i="31"/>
  <c r="T72" i="31"/>
  <c r="F72" i="31"/>
  <c r="L73" i="31"/>
  <c r="L74" i="31"/>
  <c r="L75" i="31"/>
  <c r="S94" i="31"/>
  <c r="S95" i="31"/>
  <c r="S96" i="31"/>
  <c r="N6" i="27"/>
  <c r="N8" i="27"/>
  <c r="N10" i="27"/>
  <c r="N7" i="27"/>
  <c r="M47" i="29"/>
  <c r="S33" i="31"/>
  <c r="S34" i="31"/>
  <c r="S35" i="31"/>
  <c r="J34" i="31"/>
  <c r="J35" i="31"/>
  <c r="M93" i="31"/>
  <c r="L9" i="26"/>
  <c r="N9" i="26"/>
  <c r="N5" i="26"/>
  <c r="L7" i="26"/>
  <c r="O7" i="26"/>
  <c r="N7" i="26"/>
  <c r="N6" i="26"/>
  <c r="N8" i="26"/>
  <c r="N10" i="26"/>
  <c r="N9" i="25"/>
  <c r="Q5" i="25"/>
  <c r="N5" i="25"/>
  <c r="N7" i="25"/>
  <c r="N6" i="25"/>
  <c r="N8" i="25"/>
  <c r="N10" i="25"/>
  <c r="S27" i="29"/>
  <c r="S28" i="29"/>
  <c r="S29" i="29"/>
  <c r="K7" i="30"/>
  <c r="K11" i="30"/>
  <c r="K53" i="30"/>
  <c r="Q7" i="27"/>
  <c r="Q9" i="27"/>
  <c r="T47" i="29"/>
  <c r="E15" i="30"/>
  <c r="F9" i="30"/>
  <c r="J46" i="30"/>
  <c r="K38" i="30"/>
  <c r="E46" i="30"/>
  <c r="F37" i="30"/>
  <c r="E54" i="30"/>
  <c r="M32" i="31"/>
  <c r="T93" i="31"/>
  <c r="F93" i="31"/>
  <c r="L94" i="31"/>
  <c r="L95" i="31"/>
  <c r="L96" i="31"/>
  <c r="K94" i="31"/>
  <c r="K95" i="31"/>
  <c r="K96" i="31"/>
  <c r="F38" i="32"/>
  <c r="F113" i="32"/>
  <c r="F143" i="32"/>
  <c r="K73" i="31"/>
  <c r="K74" i="31"/>
  <c r="K75" i="31"/>
  <c r="F26" i="29"/>
  <c r="T26" i="29"/>
  <c r="F47" i="29"/>
  <c r="K6" i="30"/>
  <c r="K8" i="30"/>
  <c r="K10" i="30"/>
  <c r="K12" i="30"/>
  <c r="K14" i="30"/>
  <c r="F19" i="30"/>
  <c r="F20" i="30"/>
  <c r="F42" i="30"/>
  <c r="F44" i="30"/>
  <c r="K50" i="30"/>
  <c r="K52" i="30"/>
  <c r="T32" i="31"/>
  <c r="F32" i="31"/>
  <c r="M52" i="31"/>
  <c r="F68" i="32"/>
  <c r="M26" i="29"/>
  <c r="F7" i="30"/>
  <c r="F11" i="30"/>
  <c r="F13" i="30"/>
  <c r="J33" i="30"/>
  <c r="K28" i="30"/>
  <c r="K40" i="30"/>
  <c r="K42" i="30"/>
  <c r="K44" i="30"/>
  <c r="F51" i="30"/>
  <c r="F53" i="30"/>
  <c r="T52" i="31"/>
  <c r="F52" i="31"/>
  <c r="K53" i="31"/>
  <c r="K54" i="31"/>
  <c r="K55" i="31"/>
  <c r="M72" i="31"/>
  <c r="F53" i="32"/>
  <c r="F83" i="32"/>
  <c r="F98" i="32"/>
  <c r="K9" i="30"/>
  <c r="K13" i="30"/>
  <c r="K26" i="30"/>
  <c r="F39" i="30"/>
  <c r="F45" i="30"/>
  <c r="K51" i="30"/>
  <c r="Q6" i="25"/>
  <c r="Q8" i="25"/>
  <c r="Q10" i="25"/>
  <c r="E33" i="31"/>
  <c r="E34" i="31"/>
  <c r="E35" i="31"/>
  <c r="E53" i="31"/>
  <c r="E54" i="31"/>
  <c r="E55" i="31"/>
  <c r="E73" i="31"/>
  <c r="E74" i="31"/>
  <c r="E75" i="31"/>
  <c r="E94" i="31"/>
  <c r="E95" i="31"/>
  <c r="E96" i="31"/>
  <c r="D33" i="31"/>
  <c r="D34" i="31"/>
  <c r="D35" i="31"/>
  <c r="L33" i="31"/>
  <c r="L34" i="31"/>
  <c r="L35" i="31"/>
  <c r="D53" i="31"/>
  <c r="D54" i="31"/>
  <c r="D55" i="31"/>
  <c r="D73" i="31"/>
  <c r="D74" i="31"/>
  <c r="D75" i="31"/>
  <c r="D94" i="31"/>
  <c r="D95" i="31"/>
  <c r="D96" i="31"/>
  <c r="R33" i="31"/>
  <c r="R34" i="31"/>
  <c r="R35" i="31"/>
  <c r="R53" i="31"/>
  <c r="R54" i="31"/>
  <c r="R55" i="31"/>
  <c r="R73" i="31"/>
  <c r="R74" i="31"/>
  <c r="R75" i="31"/>
  <c r="R94" i="31"/>
  <c r="R95" i="31"/>
  <c r="R96" i="31"/>
  <c r="F26" i="30"/>
  <c r="F28" i="30"/>
  <c r="F30" i="30"/>
  <c r="F32" i="30"/>
  <c r="F8" i="30"/>
  <c r="F10" i="30"/>
  <c r="F12" i="30"/>
  <c r="F14" i="30"/>
  <c r="F25" i="30"/>
  <c r="F27" i="30"/>
  <c r="F29" i="30"/>
  <c r="F31" i="30"/>
  <c r="K39" i="30"/>
  <c r="K41" i="30"/>
  <c r="K43" i="30"/>
  <c r="K45" i="30"/>
  <c r="F52" i="30"/>
  <c r="F6" i="30"/>
  <c r="K19" i="30"/>
  <c r="K20" i="30"/>
  <c r="F24" i="30"/>
  <c r="F33" i="30"/>
  <c r="K37" i="30"/>
  <c r="F50" i="30"/>
  <c r="R27" i="29"/>
  <c r="R28" i="29"/>
  <c r="R29" i="29"/>
  <c r="Q28" i="29"/>
  <c r="Q29" i="29"/>
  <c r="D48" i="29"/>
  <c r="D49" i="29"/>
  <c r="D50" i="29"/>
  <c r="D27" i="29"/>
  <c r="D28" i="29"/>
  <c r="D29" i="29"/>
  <c r="L27" i="29"/>
  <c r="L28" i="29"/>
  <c r="L29" i="29"/>
  <c r="K48" i="29"/>
  <c r="K49" i="29"/>
  <c r="K50" i="29"/>
  <c r="S48" i="29"/>
  <c r="S49" i="29"/>
  <c r="S50" i="29"/>
  <c r="K27" i="29"/>
  <c r="K28" i="29"/>
  <c r="K29" i="29"/>
  <c r="R48" i="29"/>
  <c r="R49" i="29"/>
  <c r="R50" i="29"/>
  <c r="Q6" i="27"/>
  <c r="Q8" i="27"/>
  <c r="Q10" i="27"/>
  <c r="L5" i="26"/>
  <c r="O5" i="26"/>
  <c r="L6" i="27"/>
  <c r="O6" i="27"/>
  <c r="F7" i="27"/>
  <c r="L8" i="27"/>
  <c r="O8" i="27"/>
  <c r="F9" i="27"/>
  <c r="L10" i="27"/>
  <c r="O10" i="27"/>
  <c r="Q5" i="26"/>
  <c r="Q7" i="26"/>
  <c r="Q9" i="26"/>
  <c r="L5" i="27"/>
  <c r="S5" i="27"/>
  <c r="L7" i="27"/>
  <c r="O7" i="27"/>
  <c r="L9" i="27"/>
  <c r="O9" i="27"/>
  <c r="Q7" i="25"/>
  <c r="Q9" i="25"/>
  <c r="L6" i="26"/>
  <c r="O6" i="26"/>
  <c r="Q6" i="26"/>
  <c r="L8" i="26"/>
  <c r="O8" i="26"/>
  <c r="Q8" i="26"/>
  <c r="F9" i="26"/>
  <c r="O9" i="26"/>
  <c r="L10" i="26"/>
  <c r="O10" i="26"/>
  <c r="Q10" i="26"/>
  <c r="F5" i="25"/>
  <c r="L6" i="25"/>
  <c r="O6" i="25"/>
  <c r="F7" i="25"/>
  <c r="L8" i="25"/>
  <c r="O8" i="25"/>
  <c r="L10" i="25"/>
  <c r="O10" i="25"/>
  <c r="L5" i="25"/>
  <c r="S5" i="25"/>
  <c r="L7" i="25"/>
  <c r="O7" i="25"/>
  <c r="L9" i="25"/>
  <c r="O9" i="25"/>
  <c r="K30" i="30"/>
  <c r="F38" i="30"/>
  <c r="F43" i="30"/>
  <c r="K27" i="30"/>
  <c r="O5" i="27"/>
  <c r="F40" i="30"/>
  <c r="O5" i="25"/>
  <c r="K54" i="30"/>
  <c r="K25" i="30"/>
  <c r="F41" i="30"/>
  <c r="K24" i="30"/>
  <c r="K31" i="30"/>
  <c r="K29" i="30"/>
  <c r="K15" i="30"/>
  <c r="K32" i="30"/>
  <c r="R10" i="25"/>
  <c r="S9" i="25"/>
  <c r="R8" i="25"/>
  <c r="K46" i="30"/>
  <c r="F54" i="30"/>
  <c r="F15" i="30"/>
  <c r="R10" i="27"/>
  <c r="R6" i="27"/>
  <c r="R7" i="27"/>
  <c r="S7" i="27"/>
  <c r="R9" i="27"/>
  <c r="S8" i="27"/>
  <c r="S9" i="26"/>
  <c r="R9" i="26"/>
  <c r="S9" i="27"/>
  <c r="R8" i="27"/>
  <c r="S6" i="27"/>
  <c r="R5" i="27"/>
  <c r="S7" i="26"/>
  <c r="R7" i="26"/>
  <c r="S5" i="26"/>
  <c r="R5" i="26"/>
  <c r="R8" i="26"/>
  <c r="S8" i="26"/>
  <c r="S6" i="25"/>
  <c r="R6" i="26"/>
  <c r="S6" i="26"/>
  <c r="R10" i="26"/>
  <c r="S10" i="26"/>
  <c r="R6" i="25"/>
  <c r="S7" i="25"/>
  <c r="R7" i="25"/>
  <c r="S8" i="25"/>
  <c r="R9" i="25"/>
  <c r="R5" i="25"/>
  <c r="S10" i="25"/>
  <c r="F46" i="30"/>
  <c r="K33" i="30"/>
  <c r="M11" i="24"/>
  <c r="N11" i="24"/>
  <c r="G11" i="24"/>
  <c r="H11" i="24"/>
  <c r="M10" i="24"/>
  <c r="N10" i="24"/>
  <c r="G10" i="24"/>
  <c r="H10" i="24"/>
  <c r="G9" i="24"/>
  <c r="H9" i="24"/>
  <c r="G8" i="24"/>
  <c r="H8" i="24"/>
  <c r="M7" i="24"/>
  <c r="N7" i="24"/>
  <c r="G7" i="24"/>
  <c r="H7" i="24"/>
  <c r="M6" i="24"/>
  <c r="N6" i="24"/>
  <c r="G6" i="24"/>
  <c r="H6" i="24"/>
  <c r="G5" i="24"/>
  <c r="G4" i="24"/>
  <c r="H4" i="24"/>
  <c r="I11" i="24"/>
  <c r="I5" i="24"/>
  <c r="H5" i="24"/>
  <c r="I7" i="24"/>
  <c r="I9" i="24"/>
  <c r="I6" i="24"/>
  <c r="I10" i="24"/>
  <c r="I8" i="24"/>
  <c r="E5" i="12"/>
  <c r="E7" i="12"/>
  <c r="E8" i="12"/>
  <c r="E217" i="5"/>
  <c r="E218" i="5"/>
  <c r="E219" i="5"/>
  <c r="E220" i="5"/>
  <c r="E221" i="5"/>
  <c r="E222" i="5"/>
  <c r="E223" i="5"/>
  <c r="E224" i="5"/>
  <c r="E225" i="5"/>
  <c r="E226" i="5"/>
  <c r="H230" i="5"/>
  <c r="B230" i="5"/>
  <c r="K226" i="5"/>
  <c r="K225" i="5"/>
  <c r="K224" i="5"/>
  <c r="K223" i="5"/>
  <c r="K222" i="5"/>
  <c r="K221" i="5"/>
  <c r="K220" i="5"/>
  <c r="K219" i="5"/>
  <c r="K218" i="5"/>
  <c r="K217" i="5"/>
  <c r="D191" i="20"/>
  <c r="E191" i="20"/>
  <c r="D188" i="20"/>
  <c r="D186" i="20"/>
  <c r="D184" i="20"/>
  <c r="D182" i="20"/>
  <c r="D175" i="20"/>
  <c r="E175" i="20"/>
  <c r="D172" i="20"/>
  <c r="D170" i="20"/>
  <c r="D168" i="20"/>
  <c r="D166" i="20"/>
  <c r="D159" i="20"/>
  <c r="E159" i="20"/>
  <c r="D156" i="20"/>
  <c r="D154" i="20"/>
  <c r="D152" i="20"/>
  <c r="D150" i="20"/>
  <c r="E88" i="20"/>
  <c r="D88" i="20"/>
  <c r="E87" i="20"/>
  <c r="D87" i="20"/>
  <c r="E86" i="20"/>
  <c r="D86" i="20"/>
  <c r="E85" i="20"/>
  <c r="D85" i="20"/>
  <c r="E84" i="20"/>
  <c r="D84" i="20"/>
  <c r="E83" i="20"/>
  <c r="D83" i="20"/>
  <c r="E82" i="20"/>
  <c r="D82" i="20"/>
  <c r="E81" i="20"/>
  <c r="D81" i="20"/>
  <c r="F71" i="20"/>
  <c r="E71" i="20"/>
  <c r="F70" i="20"/>
  <c r="E70" i="20"/>
  <c r="F69" i="20"/>
  <c r="E69" i="20"/>
  <c r="F68" i="20"/>
  <c r="E68" i="20"/>
  <c r="F66" i="20"/>
  <c r="E66" i="20"/>
  <c r="F65" i="20"/>
  <c r="E65" i="20"/>
  <c r="F64" i="20"/>
  <c r="E64" i="20"/>
  <c r="F62" i="20"/>
  <c r="E62" i="20"/>
  <c r="F61" i="20"/>
  <c r="E61" i="20"/>
  <c r="F60" i="20"/>
  <c r="E60" i="20"/>
  <c r="F58" i="20"/>
  <c r="E58" i="20"/>
  <c r="F57" i="20"/>
  <c r="E57" i="20"/>
  <c r="F56" i="20"/>
  <c r="E56" i="20"/>
  <c r="F54" i="20"/>
  <c r="E54" i="20"/>
  <c r="F53" i="20"/>
  <c r="E53" i="20"/>
  <c r="F52" i="20"/>
  <c r="E52" i="20"/>
  <c r="F50" i="20"/>
  <c r="E50" i="20"/>
  <c r="F49" i="20"/>
  <c r="E49" i="20"/>
  <c r="F48" i="20"/>
  <c r="E48" i="20"/>
  <c r="F47" i="20"/>
  <c r="E47" i="20"/>
  <c r="F46" i="20"/>
  <c r="E46" i="20"/>
  <c r="F45" i="20"/>
  <c r="E45" i="20"/>
  <c r="F44" i="20"/>
  <c r="E44" i="20"/>
  <c r="F42" i="20"/>
  <c r="E42" i="20"/>
  <c r="F41" i="20"/>
  <c r="E41" i="20"/>
  <c r="F40" i="20"/>
  <c r="E40" i="20"/>
  <c r="F39" i="20"/>
  <c r="E39" i="20"/>
  <c r="F38" i="20"/>
  <c r="E38" i="20"/>
  <c r="F37" i="20"/>
  <c r="E37" i="20"/>
  <c r="F35" i="20"/>
  <c r="E35" i="20"/>
  <c r="F34" i="20"/>
  <c r="E34" i="20"/>
  <c r="F33" i="20"/>
  <c r="E33" i="20"/>
  <c r="F32" i="20"/>
  <c r="E32" i="20"/>
  <c r="F31" i="20"/>
  <c r="E31" i="20"/>
  <c r="F29" i="20"/>
  <c r="E29" i="20"/>
  <c r="F28" i="20"/>
  <c r="E28" i="20"/>
  <c r="F27" i="20"/>
  <c r="E27" i="20"/>
  <c r="F26" i="20"/>
  <c r="E26" i="20"/>
  <c r="F25" i="20"/>
  <c r="E25" i="20"/>
  <c r="F23" i="20"/>
  <c r="E23" i="20"/>
  <c r="F22" i="20"/>
  <c r="E22" i="20"/>
  <c r="F21" i="20"/>
  <c r="E21" i="20"/>
  <c r="F20" i="20"/>
  <c r="E20" i="20"/>
  <c r="F19" i="20"/>
  <c r="E19" i="20"/>
  <c r="F17" i="20"/>
  <c r="E17" i="20"/>
  <c r="F16" i="20"/>
  <c r="E16" i="20"/>
  <c r="F15" i="20"/>
  <c r="E15" i="20"/>
  <c r="H6" i="19"/>
  <c r="H7" i="19"/>
  <c r="H8" i="19"/>
  <c r="H9" i="19"/>
  <c r="H10" i="19"/>
  <c r="H11" i="19"/>
  <c r="M6" i="19"/>
  <c r="N6" i="19"/>
  <c r="M7" i="19"/>
  <c r="N7" i="19"/>
  <c r="M10" i="19"/>
  <c r="N10" i="19"/>
  <c r="M11" i="19"/>
  <c r="N11" i="19"/>
  <c r="G5" i="19"/>
  <c r="G4" i="19"/>
  <c r="H4" i="19"/>
  <c r="M7" i="18"/>
  <c r="N7" i="18"/>
  <c r="M8" i="18"/>
  <c r="N8" i="18"/>
  <c r="M9" i="18"/>
  <c r="N9" i="18"/>
  <c r="M12" i="18"/>
  <c r="N12" i="18"/>
  <c r="M13" i="18"/>
  <c r="N13" i="18"/>
  <c r="G13" i="18"/>
  <c r="H13" i="18"/>
  <c r="G12" i="18"/>
  <c r="H12" i="18"/>
  <c r="G11" i="18"/>
  <c r="G10" i="18"/>
  <c r="I12" i="18"/>
  <c r="G9" i="18"/>
  <c r="H9" i="18"/>
  <c r="G8" i="18"/>
  <c r="H8" i="18"/>
  <c r="G7" i="18"/>
  <c r="H7" i="18"/>
  <c r="G6" i="18"/>
  <c r="H6" i="18"/>
  <c r="G5" i="18"/>
  <c r="H5" i="18"/>
  <c r="G4" i="18"/>
  <c r="H4" i="18"/>
  <c r="F175" i="20"/>
  <c r="I5" i="18"/>
  <c r="I5" i="19"/>
  <c r="F159" i="20"/>
  <c r="F191" i="20"/>
  <c r="I8" i="18"/>
  <c r="I7" i="18"/>
  <c r="I11" i="18"/>
  <c r="H10" i="18"/>
  <c r="H11" i="18"/>
  <c r="I9" i="18"/>
  <c r="I6" i="18"/>
  <c r="I13" i="18"/>
  <c r="I10" i="19"/>
  <c r="I6" i="19"/>
  <c r="H5" i="19"/>
  <c r="I11" i="19"/>
  <c r="I7" i="19"/>
  <c r="I8" i="19"/>
  <c r="I9" i="19"/>
  <c r="D94" i="20"/>
  <c r="E93" i="20"/>
  <c r="E99" i="20"/>
  <c r="D100" i="20"/>
  <c r="E97" i="20"/>
  <c r="D98" i="20"/>
  <c r="E95" i="20"/>
  <c r="D96" i="20"/>
  <c r="M11" i="14"/>
  <c r="M13" i="14"/>
  <c r="L11" i="14"/>
  <c r="L13" i="14"/>
  <c r="K11" i="14"/>
  <c r="K13" i="14"/>
  <c r="J11" i="14"/>
  <c r="J13" i="14"/>
  <c r="I11" i="14"/>
  <c r="I13" i="14"/>
  <c r="H11" i="14"/>
  <c r="H13" i="14"/>
  <c r="G11" i="14"/>
  <c r="G13" i="14"/>
  <c r="F11" i="14"/>
  <c r="F13" i="14"/>
  <c r="E11" i="14"/>
  <c r="E13" i="14"/>
  <c r="D11" i="14"/>
  <c r="D13" i="14"/>
  <c r="C11" i="14"/>
  <c r="C13" i="14"/>
  <c r="M10" i="14"/>
  <c r="M12" i="14"/>
  <c r="L10" i="14"/>
  <c r="L12" i="14"/>
  <c r="K10" i="14"/>
  <c r="K12" i="14"/>
  <c r="J10" i="14"/>
  <c r="J12" i="14"/>
  <c r="I10" i="14"/>
  <c r="I12" i="14"/>
  <c r="H10" i="14"/>
  <c r="H12" i="14"/>
  <c r="G10" i="14"/>
  <c r="G12" i="14"/>
  <c r="F10" i="14"/>
  <c r="F12" i="14"/>
  <c r="E10" i="14"/>
  <c r="E12" i="14"/>
  <c r="D10" i="14"/>
  <c r="D12" i="14"/>
  <c r="C10" i="14"/>
  <c r="C12" i="14"/>
  <c r="N27" i="13"/>
  <c r="N36" i="13"/>
  <c r="M27" i="13"/>
  <c r="M36" i="13"/>
  <c r="L27" i="13"/>
  <c r="I27" i="13"/>
  <c r="I36" i="13"/>
  <c r="H27" i="13"/>
  <c r="H36" i="13"/>
  <c r="G27" i="13"/>
  <c r="G36" i="13"/>
  <c r="D27" i="13"/>
  <c r="D36" i="13"/>
  <c r="C27" i="13"/>
  <c r="C36" i="13"/>
  <c r="B27" i="13"/>
  <c r="N26" i="13"/>
  <c r="N35" i="13"/>
  <c r="M26" i="13"/>
  <c r="M35" i="13"/>
  <c r="L26" i="13"/>
  <c r="L35" i="13"/>
  <c r="I26" i="13"/>
  <c r="I35" i="13"/>
  <c r="H26" i="13"/>
  <c r="H35" i="13"/>
  <c r="G26" i="13"/>
  <c r="D26" i="13"/>
  <c r="D35" i="13"/>
  <c r="C26" i="13"/>
  <c r="C35" i="13"/>
  <c r="B26" i="13"/>
  <c r="B35" i="13"/>
  <c r="N25" i="13"/>
  <c r="N34" i="13"/>
  <c r="M25" i="13"/>
  <c r="M34" i="13"/>
  <c r="L25" i="13"/>
  <c r="I25" i="13"/>
  <c r="I34" i="13"/>
  <c r="H25" i="13"/>
  <c r="H34" i="13"/>
  <c r="G25" i="13"/>
  <c r="G34" i="13"/>
  <c r="D25" i="13"/>
  <c r="D34" i="13"/>
  <c r="C25" i="13"/>
  <c r="C34" i="13"/>
  <c r="B25" i="13"/>
  <c r="N24" i="13"/>
  <c r="N33" i="13"/>
  <c r="M24" i="13"/>
  <c r="M33" i="13"/>
  <c r="L24" i="13"/>
  <c r="L33" i="13"/>
  <c r="I24" i="13"/>
  <c r="I33" i="13"/>
  <c r="H24" i="13"/>
  <c r="H33" i="13"/>
  <c r="G24" i="13"/>
  <c r="D24" i="13"/>
  <c r="D33" i="13"/>
  <c r="C24" i="13"/>
  <c r="C33" i="13"/>
  <c r="B24" i="13"/>
  <c r="B33" i="13"/>
  <c r="O18" i="13"/>
  <c r="P18" i="13"/>
  <c r="J18" i="13"/>
  <c r="K18" i="13"/>
  <c r="E18" i="13"/>
  <c r="F18" i="13"/>
  <c r="O17" i="13"/>
  <c r="P17" i="13"/>
  <c r="J17" i="13"/>
  <c r="K17" i="13"/>
  <c r="E17" i="13"/>
  <c r="F17" i="13"/>
  <c r="O16" i="13"/>
  <c r="P16" i="13"/>
  <c r="J16" i="13"/>
  <c r="K16" i="13"/>
  <c r="E16" i="13"/>
  <c r="F16" i="13"/>
  <c r="O15" i="13"/>
  <c r="P15" i="13"/>
  <c r="J15" i="13"/>
  <c r="K15" i="13"/>
  <c r="E15" i="13"/>
  <c r="F15" i="13"/>
  <c r="K8" i="12"/>
  <c r="L8" i="12"/>
  <c r="F8" i="12"/>
  <c r="L7" i="12"/>
  <c r="F7" i="12"/>
  <c r="K5" i="12"/>
  <c r="L5" i="12"/>
  <c r="F5" i="12"/>
  <c r="K4" i="12"/>
  <c r="L4" i="12"/>
  <c r="E4" i="12"/>
  <c r="F4" i="12"/>
  <c r="I48" i="11"/>
  <c r="H48" i="11"/>
  <c r="G48" i="11"/>
  <c r="D48" i="11"/>
  <c r="C48" i="11"/>
  <c r="B48" i="11"/>
  <c r="J47" i="11"/>
  <c r="E47" i="11"/>
  <c r="J46" i="11"/>
  <c r="E46" i="11"/>
  <c r="J45" i="11"/>
  <c r="E45" i="11"/>
  <c r="J44" i="11"/>
  <c r="E44" i="11"/>
  <c r="J43" i="11"/>
  <c r="E43" i="11"/>
  <c r="J42" i="11"/>
  <c r="E42" i="11"/>
  <c r="J41" i="11"/>
  <c r="E41" i="11"/>
  <c r="J40" i="11"/>
  <c r="E40" i="11"/>
  <c r="J39" i="11"/>
  <c r="E39" i="11"/>
  <c r="J38" i="11"/>
  <c r="E38" i="11"/>
  <c r="I34" i="11"/>
  <c r="H34" i="11"/>
  <c r="G34" i="11"/>
  <c r="D34" i="11"/>
  <c r="C34" i="11"/>
  <c r="B34" i="11"/>
  <c r="J33" i="11"/>
  <c r="E33" i="11"/>
  <c r="J32" i="11"/>
  <c r="E32" i="11"/>
  <c r="J31" i="11"/>
  <c r="E31" i="11"/>
  <c r="J30" i="11"/>
  <c r="E30" i="11"/>
  <c r="J29" i="11"/>
  <c r="E29" i="11"/>
  <c r="J28" i="11"/>
  <c r="E28" i="11"/>
  <c r="J27" i="11"/>
  <c r="E27" i="11"/>
  <c r="J26" i="11"/>
  <c r="E26" i="11"/>
  <c r="J25" i="11"/>
  <c r="E25" i="11"/>
  <c r="J24" i="11"/>
  <c r="E24" i="11"/>
  <c r="I20" i="11"/>
  <c r="H20" i="11"/>
  <c r="G20" i="11"/>
  <c r="D20" i="11"/>
  <c r="C20" i="11"/>
  <c r="B20" i="11"/>
  <c r="J19" i="11"/>
  <c r="J20" i="11"/>
  <c r="E19" i="11"/>
  <c r="E20" i="11"/>
  <c r="F19" i="11"/>
  <c r="F20" i="11"/>
  <c r="I15" i="11"/>
  <c r="H15" i="11"/>
  <c r="G15" i="11"/>
  <c r="D15" i="11"/>
  <c r="C15" i="11"/>
  <c r="B15" i="11"/>
  <c r="J14" i="11"/>
  <c r="E14" i="11"/>
  <c r="J13" i="11"/>
  <c r="E13" i="11"/>
  <c r="J12" i="11"/>
  <c r="E12" i="11"/>
  <c r="J11" i="11"/>
  <c r="E11" i="11"/>
  <c r="J10" i="11"/>
  <c r="E10" i="11"/>
  <c r="J9" i="11"/>
  <c r="E9" i="11"/>
  <c r="J8" i="11"/>
  <c r="E8" i="11"/>
  <c r="J7" i="11"/>
  <c r="E7" i="11"/>
  <c r="J6" i="11"/>
  <c r="E6" i="11"/>
  <c r="J5" i="11"/>
  <c r="E5" i="11"/>
  <c r="E6" i="10"/>
  <c r="F6" i="10"/>
  <c r="E5" i="10"/>
  <c r="F5" i="10"/>
  <c r="E4" i="10"/>
  <c r="F4" i="10"/>
  <c r="M34" i="9"/>
  <c r="M42" i="9"/>
  <c r="L34" i="9"/>
  <c r="L42" i="9"/>
  <c r="K34" i="9"/>
  <c r="K42" i="9"/>
  <c r="J34" i="9"/>
  <c r="J42" i="9"/>
  <c r="I34" i="9"/>
  <c r="I42" i="9"/>
  <c r="H34" i="9"/>
  <c r="H42" i="9"/>
  <c r="G34" i="9"/>
  <c r="G42" i="9"/>
  <c r="F34" i="9"/>
  <c r="F42" i="9"/>
  <c r="E34" i="9"/>
  <c r="E42" i="9"/>
  <c r="D34" i="9"/>
  <c r="D42" i="9"/>
  <c r="C34" i="9"/>
  <c r="C42" i="9"/>
  <c r="M33" i="9"/>
  <c r="M41" i="9"/>
  <c r="L33" i="9"/>
  <c r="L41" i="9"/>
  <c r="K33" i="9"/>
  <c r="K41" i="9"/>
  <c r="J33" i="9"/>
  <c r="J41" i="9"/>
  <c r="I33" i="9"/>
  <c r="I41" i="9"/>
  <c r="H33" i="9"/>
  <c r="H41" i="9"/>
  <c r="G33" i="9"/>
  <c r="G41" i="9"/>
  <c r="F33" i="9"/>
  <c r="F41" i="9"/>
  <c r="E33" i="9"/>
  <c r="E41" i="9"/>
  <c r="D33" i="9"/>
  <c r="D41" i="9"/>
  <c r="C33" i="9"/>
  <c r="C41" i="9"/>
  <c r="M32" i="9"/>
  <c r="M40" i="9"/>
  <c r="L32" i="9"/>
  <c r="L40" i="9"/>
  <c r="K32" i="9"/>
  <c r="K40" i="9"/>
  <c r="J32" i="9"/>
  <c r="J40" i="9"/>
  <c r="I32" i="9"/>
  <c r="I40" i="9"/>
  <c r="H32" i="9"/>
  <c r="H40" i="9"/>
  <c r="G32" i="9"/>
  <c r="G40" i="9"/>
  <c r="F32" i="9"/>
  <c r="F40" i="9"/>
  <c r="E32" i="9"/>
  <c r="E40" i="9"/>
  <c r="D32" i="9"/>
  <c r="D40" i="9"/>
  <c r="C32" i="9"/>
  <c r="C40" i="9"/>
  <c r="M31" i="9"/>
  <c r="M39" i="9"/>
  <c r="L31" i="9"/>
  <c r="L39" i="9"/>
  <c r="K31" i="9"/>
  <c r="K39" i="9"/>
  <c r="J31" i="9"/>
  <c r="J39" i="9"/>
  <c r="I31" i="9"/>
  <c r="I39" i="9"/>
  <c r="H31" i="9"/>
  <c r="H39" i="9"/>
  <c r="G31" i="9"/>
  <c r="G39" i="9"/>
  <c r="F31" i="9"/>
  <c r="F39" i="9"/>
  <c r="E31" i="9"/>
  <c r="E39" i="9"/>
  <c r="D31" i="9"/>
  <c r="D39" i="9"/>
  <c r="C31" i="9"/>
  <c r="C39" i="9"/>
  <c r="M30" i="9"/>
  <c r="M38" i="9"/>
  <c r="L30" i="9"/>
  <c r="L38" i="9"/>
  <c r="K30" i="9"/>
  <c r="K38" i="9"/>
  <c r="J30" i="9"/>
  <c r="J38" i="9"/>
  <c r="I30" i="9"/>
  <c r="I38" i="9"/>
  <c r="H30" i="9"/>
  <c r="H38" i="9"/>
  <c r="G30" i="9"/>
  <c r="G38" i="9"/>
  <c r="F30" i="9"/>
  <c r="F38" i="9"/>
  <c r="E30" i="9"/>
  <c r="E38" i="9"/>
  <c r="D30" i="9"/>
  <c r="D38" i="9"/>
  <c r="C30" i="9"/>
  <c r="C38" i="9"/>
  <c r="M29" i="9"/>
  <c r="M37" i="9"/>
  <c r="L29" i="9"/>
  <c r="L37" i="9"/>
  <c r="K29" i="9"/>
  <c r="K37" i="9"/>
  <c r="J29" i="9"/>
  <c r="J37" i="9"/>
  <c r="I29" i="9"/>
  <c r="I37" i="9"/>
  <c r="H29" i="9"/>
  <c r="H37" i="9"/>
  <c r="G29" i="9"/>
  <c r="G37" i="9"/>
  <c r="F29" i="9"/>
  <c r="F37" i="9"/>
  <c r="E29" i="9"/>
  <c r="E37" i="9"/>
  <c r="D29" i="9"/>
  <c r="D37" i="9"/>
  <c r="C29" i="9"/>
  <c r="C37" i="9"/>
  <c r="M28" i="9"/>
  <c r="M36" i="9"/>
  <c r="L28" i="9"/>
  <c r="L36" i="9"/>
  <c r="K28" i="9"/>
  <c r="K36" i="9"/>
  <c r="J28" i="9"/>
  <c r="J36" i="9"/>
  <c r="I28" i="9"/>
  <c r="I36" i="9"/>
  <c r="H28" i="9"/>
  <c r="H36" i="9"/>
  <c r="G28" i="9"/>
  <c r="G36" i="9"/>
  <c r="F28" i="9"/>
  <c r="F36" i="9"/>
  <c r="E28" i="9"/>
  <c r="E36" i="9"/>
  <c r="D28" i="9"/>
  <c r="D36" i="9"/>
  <c r="C28" i="9"/>
  <c r="C36" i="9"/>
  <c r="N27" i="8"/>
  <c r="N36" i="8"/>
  <c r="M27" i="8"/>
  <c r="M36" i="8"/>
  <c r="L27" i="8"/>
  <c r="L36" i="8"/>
  <c r="I27" i="8"/>
  <c r="I36" i="8"/>
  <c r="H27" i="8"/>
  <c r="H36" i="8"/>
  <c r="G27" i="8"/>
  <c r="D27" i="8"/>
  <c r="D36" i="8"/>
  <c r="C27" i="8"/>
  <c r="C36" i="8"/>
  <c r="B27" i="8"/>
  <c r="B36" i="8"/>
  <c r="N26" i="8"/>
  <c r="N35" i="8"/>
  <c r="M26" i="8"/>
  <c r="M35" i="8"/>
  <c r="L26" i="8"/>
  <c r="I26" i="8"/>
  <c r="I35" i="8"/>
  <c r="H26" i="8"/>
  <c r="H35" i="8"/>
  <c r="G26" i="8"/>
  <c r="G35" i="8"/>
  <c r="D26" i="8"/>
  <c r="D35" i="8"/>
  <c r="C26" i="8"/>
  <c r="C35" i="8"/>
  <c r="B26" i="8"/>
  <c r="N25" i="8"/>
  <c r="N34" i="8"/>
  <c r="M25" i="8"/>
  <c r="M34" i="8"/>
  <c r="L25" i="8"/>
  <c r="L34" i="8"/>
  <c r="I25" i="8"/>
  <c r="I34" i="8"/>
  <c r="H25" i="8"/>
  <c r="H34" i="8"/>
  <c r="G25" i="8"/>
  <c r="D25" i="8"/>
  <c r="D34" i="8"/>
  <c r="C25" i="8"/>
  <c r="C34" i="8"/>
  <c r="B25" i="8"/>
  <c r="B34" i="8"/>
  <c r="N24" i="8"/>
  <c r="N33" i="8"/>
  <c r="M24" i="8"/>
  <c r="M33" i="8"/>
  <c r="L24" i="8"/>
  <c r="I24" i="8"/>
  <c r="I33" i="8"/>
  <c r="H24" i="8"/>
  <c r="H33" i="8"/>
  <c r="G24" i="8"/>
  <c r="G33" i="8"/>
  <c r="D24" i="8"/>
  <c r="D33" i="8"/>
  <c r="C24" i="8"/>
  <c r="C33" i="8"/>
  <c r="B24" i="8"/>
  <c r="O18" i="8"/>
  <c r="P18" i="8"/>
  <c r="J18" i="8"/>
  <c r="K18" i="8"/>
  <c r="E18" i="8"/>
  <c r="F18" i="8"/>
  <c r="O17" i="8"/>
  <c r="P17" i="8"/>
  <c r="J17" i="8"/>
  <c r="K17" i="8"/>
  <c r="E17" i="8"/>
  <c r="F17" i="8"/>
  <c r="O16" i="8"/>
  <c r="P16" i="8"/>
  <c r="J16" i="8"/>
  <c r="K16" i="8"/>
  <c r="E16" i="8"/>
  <c r="F16" i="8"/>
  <c r="O15" i="8"/>
  <c r="P15" i="8"/>
  <c r="J15" i="8"/>
  <c r="K15" i="8"/>
  <c r="E15" i="8"/>
  <c r="F15" i="8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H15" i="6"/>
  <c r="B15" i="6"/>
  <c r="K11" i="6"/>
  <c r="E11" i="6"/>
  <c r="K10" i="6"/>
  <c r="E10" i="6"/>
  <c r="K9" i="6"/>
  <c r="E9" i="6"/>
  <c r="K8" i="6"/>
  <c r="E8" i="6"/>
  <c r="K7" i="6"/>
  <c r="E7" i="6"/>
  <c r="K6" i="6"/>
  <c r="E6" i="6"/>
  <c r="K5" i="6"/>
  <c r="E5" i="6"/>
  <c r="K4" i="6"/>
  <c r="E4" i="6"/>
  <c r="H211" i="5"/>
  <c r="B211" i="5"/>
  <c r="K207" i="5"/>
  <c r="E207" i="5"/>
  <c r="K206" i="5"/>
  <c r="E206" i="5"/>
  <c r="K205" i="5"/>
  <c r="E205" i="5"/>
  <c r="K204" i="5"/>
  <c r="E204" i="5"/>
  <c r="K203" i="5"/>
  <c r="E203" i="5"/>
  <c r="K202" i="5"/>
  <c r="E202" i="5"/>
  <c r="K201" i="5"/>
  <c r="E201" i="5"/>
  <c r="K200" i="5"/>
  <c r="E200" i="5"/>
  <c r="K199" i="5"/>
  <c r="E199" i="5"/>
  <c r="K198" i="5"/>
  <c r="E198" i="5"/>
  <c r="H192" i="5"/>
  <c r="B192" i="5"/>
  <c r="K188" i="5"/>
  <c r="E188" i="5"/>
  <c r="K187" i="5"/>
  <c r="E187" i="5"/>
  <c r="K186" i="5"/>
  <c r="E186" i="5"/>
  <c r="K185" i="5"/>
  <c r="E185" i="5"/>
  <c r="K184" i="5"/>
  <c r="E184" i="5"/>
  <c r="K183" i="5"/>
  <c r="E183" i="5"/>
  <c r="K182" i="5"/>
  <c r="E182" i="5"/>
  <c r="K181" i="5"/>
  <c r="E181" i="5"/>
  <c r="K180" i="5"/>
  <c r="E180" i="5"/>
  <c r="K179" i="5"/>
  <c r="E179" i="5"/>
  <c r="H173" i="5"/>
  <c r="B173" i="5"/>
  <c r="K169" i="5"/>
  <c r="E169" i="5"/>
  <c r="K168" i="5"/>
  <c r="E168" i="5"/>
  <c r="K167" i="5"/>
  <c r="E167" i="5"/>
  <c r="K166" i="5"/>
  <c r="E166" i="5"/>
  <c r="K165" i="5"/>
  <c r="E165" i="5"/>
  <c r="K164" i="5"/>
  <c r="E164" i="5"/>
  <c r="K163" i="5"/>
  <c r="E163" i="5"/>
  <c r="K162" i="5"/>
  <c r="E162" i="5"/>
  <c r="K161" i="5"/>
  <c r="E161" i="5"/>
  <c r="K160" i="5"/>
  <c r="E160" i="5"/>
  <c r="H154" i="5"/>
  <c r="B154" i="5"/>
  <c r="K150" i="5"/>
  <c r="E150" i="5"/>
  <c r="K149" i="5"/>
  <c r="E149" i="5"/>
  <c r="K148" i="5"/>
  <c r="E148" i="5"/>
  <c r="K147" i="5"/>
  <c r="E147" i="5"/>
  <c r="K146" i="5"/>
  <c r="E146" i="5"/>
  <c r="K145" i="5"/>
  <c r="E145" i="5"/>
  <c r="K144" i="5"/>
  <c r="E144" i="5"/>
  <c r="K143" i="5"/>
  <c r="E143" i="5"/>
  <c r="K142" i="5"/>
  <c r="E142" i="5"/>
  <c r="K141" i="5"/>
  <c r="E141" i="5"/>
  <c r="H135" i="5"/>
  <c r="B135" i="5"/>
  <c r="K131" i="5"/>
  <c r="E131" i="5"/>
  <c r="K130" i="5"/>
  <c r="E130" i="5"/>
  <c r="K129" i="5"/>
  <c r="E129" i="5"/>
  <c r="K128" i="5"/>
  <c r="E128" i="5"/>
  <c r="K127" i="5"/>
  <c r="E127" i="5"/>
  <c r="K126" i="5"/>
  <c r="E126" i="5"/>
  <c r="K125" i="5"/>
  <c r="E125" i="5"/>
  <c r="K124" i="5"/>
  <c r="E124" i="5"/>
  <c r="K123" i="5"/>
  <c r="E123" i="5"/>
  <c r="K122" i="5"/>
  <c r="E122" i="5"/>
  <c r="H116" i="5"/>
  <c r="B116" i="5"/>
  <c r="K112" i="5"/>
  <c r="E112" i="5"/>
  <c r="K111" i="5"/>
  <c r="E111" i="5"/>
  <c r="K110" i="5"/>
  <c r="E110" i="5"/>
  <c r="K109" i="5"/>
  <c r="E109" i="5"/>
  <c r="K108" i="5"/>
  <c r="E108" i="5"/>
  <c r="K107" i="5"/>
  <c r="E107" i="5"/>
  <c r="K106" i="5"/>
  <c r="E106" i="5"/>
  <c r="K105" i="5"/>
  <c r="E105" i="5"/>
  <c r="K104" i="5"/>
  <c r="E104" i="5"/>
  <c r="K103" i="5"/>
  <c r="E103" i="5"/>
  <c r="H97" i="5"/>
  <c r="B97" i="5"/>
  <c r="K93" i="5"/>
  <c r="E93" i="5"/>
  <c r="K92" i="5"/>
  <c r="E92" i="5"/>
  <c r="K91" i="5"/>
  <c r="E91" i="5"/>
  <c r="K90" i="5"/>
  <c r="E90" i="5"/>
  <c r="K89" i="5"/>
  <c r="E89" i="5"/>
  <c r="K88" i="5"/>
  <c r="E88" i="5"/>
  <c r="K87" i="5"/>
  <c r="E87" i="5"/>
  <c r="K86" i="5"/>
  <c r="E86" i="5"/>
  <c r="K85" i="5"/>
  <c r="E85" i="5"/>
  <c r="K84" i="5"/>
  <c r="E84" i="5"/>
  <c r="K83" i="5"/>
  <c r="E83" i="5"/>
  <c r="K82" i="5"/>
  <c r="E82" i="5"/>
  <c r="H76" i="5"/>
  <c r="B76" i="5"/>
  <c r="K72" i="5"/>
  <c r="E72" i="5"/>
  <c r="K71" i="5"/>
  <c r="E71" i="5"/>
  <c r="K70" i="5"/>
  <c r="E70" i="5"/>
  <c r="K69" i="5"/>
  <c r="E69" i="5"/>
  <c r="K68" i="5"/>
  <c r="E68" i="5"/>
  <c r="K67" i="5"/>
  <c r="E67" i="5"/>
  <c r="K66" i="5"/>
  <c r="E66" i="5"/>
  <c r="K65" i="5"/>
  <c r="E65" i="5"/>
  <c r="K64" i="5"/>
  <c r="E64" i="5"/>
  <c r="K63" i="5"/>
  <c r="E63" i="5"/>
  <c r="K62" i="5"/>
  <c r="E62" i="5"/>
  <c r="K61" i="5"/>
  <c r="E61" i="5"/>
  <c r="H55" i="5"/>
  <c r="B55" i="5"/>
  <c r="K51" i="5"/>
  <c r="E51" i="5"/>
  <c r="K50" i="5"/>
  <c r="E50" i="5"/>
  <c r="K49" i="5"/>
  <c r="E49" i="5"/>
  <c r="K48" i="5"/>
  <c r="E48" i="5"/>
  <c r="K47" i="5"/>
  <c r="E47" i="5"/>
  <c r="K46" i="5"/>
  <c r="E46" i="5"/>
  <c r="K45" i="5"/>
  <c r="E45" i="5"/>
  <c r="K44" i="5"/>
  <c r="E44" i="5"/>
  <c r="K43" i="5"/>
  <c r="E43" i="5"/>
  <c r="K42" i="5"/>
  <c r="E42" i="5"/>
  <c r="H36" i="5"/>
  <c r="B36" i="5"/>
  <c r="K32" i="5"/>
  <c r="E32" i="5"/>
  <c r="K31" i="5"/>
  <c r="E31" i="5"/>
  <c r="K30" i="5"/>
  <c r="E30" i="5"/>
  <c r="K29" i="5"/>
  <c r="E29" i="5"/>
  <c r="K28" i="5"/>
  <c r="E28" i="5"/>
  <c r="K27" i="5"/>
  <c r="E27" i="5"/>
  <c r="K26" i="5"/>
  <c r="E26" i="5"/>
  <c r="K25" i="5"/>
  <c r="E25" i="5"/>
  <c r="K24" i="5"/>
  <c r="E24" i="5"/>
  <c r="K23" i="5"/>
  <c r="E23" i="5"/>
  <c r="H17" i="5"/>
  <c r="B17" i="5"/>
  <c r="K13" i="5"/>
  <c r="E13" i="5"/>
  <c r="K12" i="5"/>
  <c r="E12" i="5"/>
  <c r="K11" i="5"/>
  <c r="E11" i="5"/>
  <c r="K10" i="5"/>
  <c r="E10" i="5"/>
  <c r="K9" i="5"/>
  <c r="E9" i="5"/>
  <c r="K8" i="5"/>
  <c r="E8" i="5"/>
  <c r="K7" i="5"/>
  <c r="E7" i="5"/>
  <c r="K6" i="5"/>
  <c r="E6" i="5"/>
  <c r="K5" i="5"/>
  <c r="E5" i="5"/>
  <c r="K4" i="5"/>
  <c r="E4" i="5"/>
  <c r="K10" i="4"/>
  <c r="E10" i="4"/>
  <c r="K9" i="4"/>
  <c r="E9" i="4"/>
  <c r="F9" i="4"/>
  <c r="K8" i="4"/>
  <c r="E8" i="4"/>
  <c r="K7" i="4"/>
  <c r="E7" i="4"/>
  <c r="F7" i="4"/>
  <c r="K6" i="4"/>
  <c r="E6" i="4"/>
  <c r="K5" i="4"/>
  <c r="E5" i="4"/>
  <c r="F5" i="4"/>
  <c r="K33" i="3"/>
  <c r="L33" i="3"/>
  <c r="E33" i="3"/>
  <c r="K32" i="3"/>
  <c r="L32" i="3"/>
  <c r="E32" i="3"/>
  <c r="F32" i="3"/>
  <c r="K31" i="3"/>
  <c r="L31" i="3"/>
  <c r="E31" i="3"/>
  <c r="F31" i="3"/>
  <c r="K30" i="3"/>
  <c r="L30" i="3"/>
  <c r="E30" i="3"/>
  <c r="K29" i="3"/>
  <c r="L29" i="3"/>
  <c r="E29" i="3"/>
  <c r="K28" i="3"/>
  <c r="L28" i="3"/>
  <c r="E28" i="3"/>
  <c r="F28" i="3"/>
  <c r="K27" i="3"/>
  <c r="L27" i="3"/>
  <c r="E27" i="3"/>
  <c r="F27" i="3"/>
  <c r="K26" i="3"/>
  <c r="L26" i="3"/>
  <c r="E26" i="3"/>
  <c r="K25" i="3"/>
  <c r="L25" i="3"/>
  <c r="E25" i="3"/>
  <c r="K24" i="3"/>
  <c r="L24" i="3"/>
  <c r="E24" i="3"/>
  <c r="F24" i="3"/>
  <c r="K23" i="3"/>
  <c r="L23" i="3"/>
  <c r="E23" i="3"/>
  <c r="F23" i="3"/>
  <c r="K22" i="3"/>
  <c r="L22" i="3"/>
  <c r="E22" i="3"/>
  <c r="K21" i="3"/>
  <c r="L21" i="3"/>
  <c r="E21" i="3"/>
  <c r="K20" i="3"/>
  <c r="L20" i="3"/>
  <c r="E20" i="3"/>
  <c r="F20" i="3"/>
  <c r="K19" i="3"/>
  <c r="L19" i="3"/>
  <c r="E19" i="3"/>
  <c r="F19" i="3"/>
  <c r="K18" i="3"/>
  <c r="L18" i="3"/>
  <c r="E18" i="3"/>
  <c r="K17" i="3"/>
  <c r="L17" i="3"/>
  <c r="E17" i="3"/>
  <c r="K16" i="3"/>
  <c r="L16" i="3"/>
  <c r="E16" i="3"/>
  <c r="F16" i="3"/>
  <c r="K15" i="3"/>
  <c r="L15" i="3"/>
  <c r="E15" i="3"/>
  <c r="F15" i="3"/>
  <c r="K14" i="3"/>
  <c r="L14" i="3"/>
  <c r="E14" i="3"/>
  <c r="K13" i="3"/>
  <c r="L13" i="3"/>
  <c r="E13" i="3"/>
  <c r="K12" i="3"/>
  <c r="L12" i="3"/>
  <c r="E12" i="3"/>
  <c r="F12" i="3"/>
  <c r="K11" i="3"/>
  <c r="L11" i="3"/>
  <c r="E11" i="3"/>
  <c r="F11" i="3"/>
  <c r="K10" i="3"/>
  <c r="L10" i="3"/>
  <c r="E10" i="3"/>
  <c r="K9" i="3"/>
  <c r="L9" i="3"/>
  <c r="E9" i="3"/>
  <c r="K8" i="3"/>
  <c r="L8" i="3"/>
  <c r="E8" i="3"/>
  <c r="F8" i="3"/>
  <c r="K7" i="3"/>
  <c r="L7" i="3"/>
  <c r="E7" i="3"/>
  <c r="F7" i="3"/>
  <c r="K6" i="3"/>
  <c r="L6" i="3"/>
  <c r="E6" i="3"/>
  <c r="F6" i="3"/>
  <c r="K5" i="3"/>
  <c r="L5" i="3"/>
  <c r="E5" i="3"/>
  <c r="K5" i="2"/>
  <c r="L5" i="2"/>
  <c r="F5" i="2"/>
  <c r="G5" i="2"/>
  <c r="N5" i="4"/>
  <c r="N7" i="4"/>
  <c r="N9" i="4"/>
  <c r="N6" i="4"/>
  <c r="N8" i="4"/>
  <c r="N10" i="4"/>
  <c r="Q9" i="4"/>
  <c r="L5" i="4"/>
  <c r="O5" i="4"/>
  <c r="Q5" i="4"/>
  <c r="Q7" i="4"/>
  <c r="Q6" i="4"/>
  <c r="Q8" i="4"/>
  <c r="Q10" i="4"/>
  <c r="E34" i="11"/>
  <c r="F27" i="11"/>
  <c r="E48" i="11"/>
  <c r="E15" i="11"/>
  <c r="F10" i="11"/>
  <c r="H15" i="7"/>
  <c r="I15" i="7"/>
  <c r="J48" i="11"/>
  <c r="K41" i="11"/>
  <c r="H9" i="7"/>
  <c r="I9" i="7"/>
  <c r="H5" i="7"/>
  <c r="I5" i="7"/>
  <c r="H6" i="7"/>
  <c r="I6" i="7"/>
  <c r="H20" i="7"/>
  <c r="I20" i="7"/>
  <c r="F29" i="11"/>
  <c r="F31" i="11"/>
  <c r="F33" i="11"/>
  <c r="H7" i="7"/>
  <c r="I7" i="7"/>
  <c r="H19" i="7"/>
  <c r="I19" i="7"/>
  <c r="K19" i="11"/>
  <c r="K20" i="11"/>
  <c r="F24" i="11"/>
  <c r="F26" i="11"/>
  <c r="F30" i="11"/>
  <c r="F32" i="11"/>
  <c r="H16" i="7"/>
  <c r="I16" i="7"/>
  <c r="H18" i="7"/>
  <c r="I18" i="7"/>
  <c r="E24" i="8"/>
  <c r="F24" i="8"/>
  <c r="B33" i="8"/>
  <c r="J25" i="8"/>
  <c r="K25" i="8"/>
  <c r="O26" i="8"/>
  <c r="P26" i="8"/>
  <c r="J15" i="11"/>
  <c r="K11" i="11"/>
  <c r="J34" i="11"/>
  <c r="K33" i="11"/>
  <c r="O24" i="13"/>
  <c r="P24" i="13"/>
  <c r="E27" i="13"/>
  <c r="F27" i="13"/>
  <c r="O25" i="13"/>
  <c r="P25" i="13"/>
  <c r="O27" i="13"/>
  <c r="P27" i="13"/>
  <c r="J24" i="13"/>
  <c r="K24" i="13"/>
  <c r="J26" i="13"/>
  <c r="K26" i="13"/>
  <c r="J27" i="13"/>
  <c r="K27" i="13"/>
  <c r="E25" i="13"/>
  <c r="F25" i="13"/>
  <c r="E26" i="13"/>
  <c r="J27" i="8"/>
  <c r="K27" i="8"/>
  <c r="O24" i="8"/>
  <c r="P24" i="8"/>
  <c r="E26" i="8"/>
  <c r="F26" i="8"/>
  <c r="E27" i="8"/>
  <c r="F27" i="8"/>
  <c r="E33" i="13"/>
  <c r="F33" i="13"/>
  <c r="J36" i="13"/>
  <c r="K36" i="13"/>
  <c r="E35" i="13"/>
  <c r="F35" i="13"/>
  <c r="O33" i="13"/>
  <c r="P33" i="13"/>
  <c r="O35" i="13"/>
  <c r="P35" i="13"/>
  <c r="J34" i="13"/>
  <c r="K34" i="13"/>
  <c r="E24" i="13"/>
  <c r="F24" i="13"/>
  <c r="J25" i="13"/>
  <c r="K25" i="13"/>
  <c r="O26" i="13"/>
  <c r="P26" i="13"/>
  <c r="B34" i="13"/>
  <c r="G35" i="13"/>
  <c r="L36" i="13"/>
  <c r="F26" i="13"/>
  <c r="G33" i="13"/>
  <c r="L34" i="13"/>
  <c r="B36" i="13"/>
  <c r="M5" i="12"/>
  <c r="M8" i="12"/>
  <c r="F47" i="11"/>
  <c r="F46" i="11"/>
  <c r="F45" i="11"/>
  <c r="F44" i="11"/>
  <c r="F43" i="11"/>
  <c r="F42" i="11"/>
  <c r="F41" i="11"/>
  <c r="F40" i="11"/>
  <c r="F39" i="11"/>
  <c r="F38" i="11"/>
  <c r="K13" i="11"/>
  <c r="K12" i="11"/>
  <c r="K9" i="11"/>
  <c r="K8" i="11"/>
  <c r="K5" i="11"/>
  <c r="K32" i="11"/>
  <c r="K30" i="11"/>
  <c r="K28" i="11"/>
  <c r="K26" i="11"/>
  <c r="K24" i="11"/>
  <c r="O36" i="8"/>
  <c r="P36" i="8"/>
  <c r="E34" i="8"/>
  <c r="F34" i="8"/>
  <c r="J35" i="8"/>
  <c r="K35" i="8"/>
  <c r="J33" i="8"/>
  <c r="K33" i="8"/>
  <c r="O34" i="8"/>
  <c r="P34" i="8"/>
  <c r="E36" i="8"/>
  <c r="F36" i="8"/>
  <c r="E25" i="8"/>
  <c r="F25" i="8"/>
  <c r="J26" i="8"/>
  <c r="K26" i="8"/>
  <c r="O27" i="8"/>
  <c r="P27" i="8"/>
  <c r="L33" i="8"/>
  <c r="B35" i="8"/>
  <c r="G36" i="8"/>
  <c r="J24" i="8"/>
  <c r="K24" i="8"/>
  <c r="O25" i="8"/>
  <c r="P25" i="8"/>
  <c r="G34" i="8"/>
  <c r="L35" i="8"/>
  <c r="H4" i="7"/>
  <c r="I4" i="7"/>
  <c r="H8" i="7"/>
  <c r="I8" i="7"/>
  <c r="H17" i="7"/>
  <c r="I17" i="7"/>
  <c r="L6" i="4"/>
  <c r="F6" i="4"/>
  <c r="O6" i="4"/>
  <c r="L8" i="4"/>
  <c r="F8" i="4"/>
  <c r="O8" i="4"/>
  <c r="L10" i="4"/>
  <c r="F10" i="4"/>
  <c r="O10" i="4"/>
  <c r="L7" i="4"/>
  <c r="O7" i="4"/>
  <c r="L9" i="4"/>
  <c r="O9" i="4"/>
  <c r="F5" i="3"/>
  <c r="F9" i="3"/>
  <c r="F13" i="3"/>
  <c r="F17" i="3"/>
  <c r="F21" i="3"/>
  <c r="F25" i="3"/>
  <c r="F29" i="3"/>
  <c r="F33" i="3"/>
  <c r="F10" i="3"/>
  <c r="F14" i="3"/>
  <c r="F18" i="3"/>
  <c r="F22" i="3"/>
  <c r="F26" i="3"/>
  <c r="F30" i="3"/>
  <c r="F9" i="11"/>
  <c r="K43" i="11"/>
  <c r="F14" i="11"/>
  <c r="K42" i="11"/>
  <c r="F7" i="11"/>
  <c r="F12" i="11"/>
  <c r="K40" i="11"/>
  <c r="K6" i="11"/>
  <c r="K7" i="11"/>
  <c r="K10" i="11"/>
  <c r="K14" i="11"/>
  <c r="K15" i="11"/>
  <c r="F8" i="11"/>
  <c r="F11" i="11"/>
  <c r="F6" i="11"/>
  <c r="F25" i="11"/>
  <c r="F28" i="11"/>
  <c r="F34" i="11"/>
  <c r="F13" i="11"/>
  <c r="F5" i="11"/>
  <c r="F15" i="11"/>
  <c r="K45" i="11"/>
  <c r="K44" i="11"/>
  <c r="K47" i="11"/>
  <c r="K39" i="11"/>
  <c r="K46" i="11"/>
  <c r="K38" i="11"/>
  <c r="S9" i="4"/>
  <c r="F102" i="20"/>
  <c r="K27" i="11"/>
  <c r="K31" i="11"/>
  <c r="K25" i="11"/>
  <c r="K29" i="11"/>
  <c r="S6" i="4"/>
  <c r="R10" i="4"/>
  <c r="S7" i="4"/>
  <c r="E36" i="13"/>
  <c r="F36" i="13"/>
  <c r="O36" i="13"/>
  <c r="P36" i="13"/>
  <c r="J33" i="13"/>
  <c r="K33" i="13"/>
  <c r="E34" i="13"/>
  <c r="F34" i="13"/>
  <c r="O34" i="13"/>
  <c r="P34" i="13"/>
  <c r="J35" i="13"/>
  <c r="K35" i="13"/>
  <c r="F48" i="11"/>
  <c r="O35" i="8"/>
  <c r="P35" i="8"/>
  <c r="O33" i="8"/>
  <c r="P33" i="8"/>
  <c r="E33" i="8"/>
  <c r="F33" i="8"/>
  <c r="E35" i="8"/>
  <c r="F35" i="8"/>
  <c r="J34" i="8"/>
  <c r="K34" i="8"/>
  <c r="J36" i="8"/>
  <c r="K36" i="8"/>
  <c r="S8" i="4"/>
  <c r="R9" i="4"/>
  <c r="R5" i="4"/>
  <c r="R6" i="4"/>
  <c r="S5" i="4"/>
  <c r="S10" i="4"/>
  <c r="R7" i="4"/>
  <c r="R8" i="4"/>
  <c r="F134" i="20"/>
  <c r="K34" i="11"/>
  <c r="K48" i="11"/>
</calcChain>
</file>

<file path=xl/sharedStrings.xml><?xml version="1.0" encoding="utf-8"?>
<sst xmlns="http://schemas.openxmlformats.org/spreadsheetml/2006/main" count="1978" uniqueCount="400">
  <si>
    <r>
      <rPr>
        <b/>
        <i/>
        <sz val="11"/>
        <color theme="1"/>
        <rFont val="Calibri"/>
        <family val="2"/>
        <scheme val="minor"/>
      </rPr>
      <t>Sl</t>
    </r>
    <r>
      <rPr>
        <b/>
        <sz val="11"/>
        <color theme="1"/>
        <rFont val="Calibri"/>
        <family val="2"/>
        <scheme val="minor"/>
      </rPr>
      <t>PHS1</t>
    </r>
  </si>
  <si>
    <r>
      <rPr>
        <b/>
        <i/>
        <sz val="11"/>
        <color theme="1"/>
        <rFont val="Calibri"/>
        <family val="2"/>
        <scheme val="minor"/>
      </rPr>
      <t>Sh</t>
    </r>
    <r>
      <rPr>
        <b/>
        <sz val="11"/>
        <color theme="1"/>
        <rFont val="Calibri"/>
        <family val="2"/>
        <scheme val="minor"/>
      </rPr>
      <t>LimS</t>
    </r>
  </si>
  <si>
    <r>
      <rPr>
        <b/>
        <i/>
        <sz val="11"/>
        <color theme="1"/>
        <rFont val="Calibri"/>
        <family val="2"/>
        <scheme val="minor"/>
      </rPr>
      <t>Sh</t>
    </r>
    <r>
      <rPr>
        <b/>
        <sz val="11"/>
        <color theme="1"/>
        <rFont val="Calibri"/>
        <family val="2"/>
        <scheme val="minor"/>
      </rPr>
      <t>PinS</t>
    </r>
  </si>
  <si>
    <t>mg/L</t>
  </si>
  <si>
    <t>MEAN</t>
  </si>
  <si>
    <t>MAD</t>
  </si>
  <si>
    <t>Fold improvement</t>
  </si>
  <si>
    <t>data set #1</t>
  </si>
  <si>
    <t>data set #2</t>
  </si>
  <si>
    <t>data set #3</t>
  </si>
  <si>
    <t xml:space="preserve">total </t>
  </si>
  <si>
    <t>-</t>
  </si>
  <si>
    <t>GPP</t>
  </si>
  <si>
    <t>GPP+NPP</t>
  </si>
  <si>
    <t>1,8-cineole</t>
  </si>
  <si>
    <r>
      <t>α-</t>
    </r>
    <r>
      <rPr>
        <sz val="11"/>
        <color theme="1"/>
        <rFont val="Calibri"/>
        <family val="2"/>
        <scheme val="minor"/>
      </rPr>
      <t xml:space="preserve">pinene </t>
    </r>
  </si>
  <si>
    <t>limonene</t>
  </si>
  <si>
    <t>sabinene</t>
  </si>
  <si>
    <t>camphene</t>
  </si>
  <si>
    <r>
      <rPr>
        <b/>
        <i/>
        <sz val="11"/>
        <color theme="1"/>
        <rFont val="Calibri"/>
        <family val="2"/>
        <scheme val="minor"/>
      </rPr>
      <t>Sf</t>
    </r>
    <r>
      <rPr>
        <b/>
        <sz val="11"/>
        <color theme="1"/>
        <rFont val="Calibri"/>
        <family val="2"/>
        <scheme val="minor"/>
      </rPr>
      <t xml:space="preserve">CinS1 variant </t>
    </r>
  </si>
  <si>
    <t>GPP+NPP/GPP</t>
  </si>
  <si>
    <t>Positive Error value</t>
  </si>
  <si>
    <t>Negative Error value</t>
  </si>
  <si>
    <t>wt</t>
  </si>
  <si>
    <t>N338A</t>
  </si>
  <si>
    <t>N338S</t>
  </si>
  <si>
    <t>N338C</t>
  </si>
  <si>
    <t>N338V</t>
  </si>
  <si>
    <t>N338L</t>
  </si>
  <si>
    <t>N338I</t>
  </si>
  <si>
    <t>I451A</t>
  </si>
  <si>
    <t>I451S</t>
  </si>
  <si>
    <t>I451V</t>
  </si>
  <si>
    <t>L485A</t>
  </si>
  <si>
    <t>L485G</t>
  </si>
  <si>
    <t>L556A</t>
  </si>
  <si>
    <t>L556G</t>
  </si>
  <si>
    <t>F571H</t>
  </si>
  <si>
    <t>F571Y</t>
  </si>
  <si>
    <t>F571R</t>
  </si>
  <si>
    <t>F571V</t>
  </si>
  <si>
    <t>F571L</t>
  </si>
  <si>
    <t>F571I</t>
  </si>
  <si>
    <t>N338I-F571H</t>
  </si>
  <si>
    <t>N338A-F571H</t>
  </si>
  <si>
    <t>N338C-F571H</t>
  </si>
  <si>
    <t>I451V-F571H</t>
  </si>
  <si>
    <t>N338S-F571H</t>
  </si>
  <si>
    <t>N338S-F571Y</t>
  </si>
  <si>
    <t>N338S-F571V</t>
  </si>
  <si>
    <t>N338S-F571L</t>
  </si>
  <si>
    <t>N338S-F571I</t>
  </si>
  <si>
    <r>
      <rPr>
        <b/>
        <i/>
        <sz val="11"/>
        <color theme="1"/>
        <rFont val="Calibri"/>
        <family val="2"/>
        <scheme val="minor"/>
      </rPr>
      <t>Cl</t>
    </r>
    <r>
      <rPr>
        <b/>
        <sz val="11"/>
        <color theme="1"/>
        <rFont val="Calibri"/>
        <family val="2"/>
        <scheme val="minor"/>
      </rPr>
      <t xml:space="preserve">LimS variant </t>
    </r>
  </si>
  <si>
    <t>Variant fold improvement with NPP</t>
  </si>
  <si>
    <t>H570F</t>
  </si>
  <si>
    <t>H570Y</t>
  </si>
  <si>
    <t>H570V</t>
  </si>
  <si>
    <t>H570L</t>
  </si>
  <si>
    <t>H570I</t>
  </si>
  <si>
    <r>
      <rPr>
        <b/>
        <i/>
        <sz val="11"/>
        <color theme="1"/>
        <rFont val="Calibri"/>
        <family val="2"/>
        <scheme val="minor"/>
      </rPr>
      <t>Sp</t>
    </r>
    <r>
      <rPr>
        <b/>
        <sz val="11"/>
        <color theme="1"/>
        <rFont val="Calibri"/>
        <family val="2"/>
        <scheme val="minor"/>
      </rPr>
      <t xml:space="preserve">SabS variant </t>
    </r>
  </si>
  <si>
    <t>H561F</t>
  </si>
  <si>
    <t>H561Y</t>
  </si>
  <si>
    <t>H561V</t>
  </si>
  <si>
    <t>H561L</t>
  </si>
  <si>
    <t>H561I</t>
  </si>
  <si>
    <r>
      <rPr>
        <b/>
        <i/>
        <sz val="11"/>
        <color theme="1"/>
        <rFont val="Calibri"/>
        <family val="2"/>
        <scheme val="minor"/>
      </rPr>
      <t>Se</t>
    </r>
    <r>
      <rPr>
        <b/>
        <sz val="11"/>
        <color theme="1"/>
        <rFont val="Calibri"/>
        <family val="2"/>
        <scheme val="minor"/>
      </rPr>
      <t xml:space="preserve">CamS variant </t>
    </r>
  </si>
  <si>
    <t>H583F</t>
  </si>
  <si>
    <t>H583Y</t>
  </si>
  <si>
    <t>H583V</t>
  </si>
  <si>
    <t>H583L</t>
  </si>
  <si>
    <t>H583I</t>
  </si>
  <si>
    <r>
      <rPr>
        <b/>
        <i/>
        <sz val="11"/>
        <color theme="1"/>
        <rFont val="Calibri"/>
        <family val="2"/>
        <scheme val="minor"/>
      </rPr>
      <t>Pt</t>
    </r>
    <r>
      <rPr>
        <b/>
        <sz val="11"/>
        <color theme="1"/>
        <rFont val="Calibri"/>
        <family val="2"/>
        <scheme val="minor"/>
      </rPr>
      <t xml:space="preserve">PinS variant </t>
    </r>
  </si>
  <si>
    <t>F607H</t>
  </si>
  <si>
    <t>F607Y</t>
  </si>
  <si>
    <t>F607V</t>
  </si>
  <si>
    <t>F607L</t>
  </si>
  <si>
    <t>F607I</t>
  </si>
  <si>
    <r>
      <rPr>
        <b/>
        <i/>
        <sz val="11"/>
        <color theme="1"/>
        <rFont val="Calibri"/>
        <family val="2"/>
        <scheme val="minor"/>
      </rPr>
      <t>Sf</t>
    </r>
    <r>
      <rPr>
        <b/>
        <sz val="11"/>
        <color theme="1"/>
        <rFont val="Calibri"/>
        <family val="2"/>
        <scheme val="minor"/>
      </rPr>
      <t>CinS1 wild-type</t>
    </r>
  </si>
  <si>
    <r>
      <t xml:space="preserve">[GPP] </t>
    </r>
    <r>
      <rPr>
        <sz val="11"/>
        <color theme="1"/>
        <rFont val="Calibri"/>
        <family val="2"/>
      </rPr>
      <t>µM</t>
    </r>
  </si>
  <si>
    <r>
      <t xml:space="preserve">[NPP] </t>
    </r>
    <r>
      <rPr>
        <sz val="11"/>
        <color theme="1"/>
        <rFont val="Calibri"/>
        <family val="2"/>
      </rPr>
      <t>µM</t>
    </r>
  </si>
  <si>
    <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= </t>
    </r>
  </si>
  <si>
    <t>± 2.7890</t>
  </si>
  <si>
    <t xml:space="preserve"> </t>
  </si>
  <si>
    <t>± 4.9875</t>
  </si>
  <si>
    <r>
      <t>k</t>
    </r>
    <r>
      <rPr>
        <vertAlign val="subscript"/>
        <sz val="11"/>
        <color theme="1"/>
        <rFont val="Calibri"/>
        <family val="2"/>
        <scheme val="minor"/>
      </rPr>
      <t>cat</t>
    </r>
    <r>
      <rPr>
        <sz val="11"/>
        <color theme="1"/>
        <rFont val="Calibri"/>
        <family val="2"/>
        <scheme val="minor"/>
      </rPr>
      <t>=</t>
    </r>
  </si>
  <si>
    <t>± 0.3801</t>
  </si>
  <si>
    <t>±  2.6702</t>
  </si>
  <si>
    <r>
      <t>k</t>
    </r>
    <r>
      <rPr>
        <vertAlign val="subscript"/>
        <sz val="10"/>
        <color theme="1"/>
        <rFont val="Times New Roman"/>
        <family val="1"/>
      </rPr>
      <t>cat</t>
    </r>
    <r>
      <rPr>
        <vertAlign val="superscript"/>
        <sz val="10"/>
        <color theme="1"/>
        <rFont val="Times New Roman"/>
        <family val="1"/>
      </rPr>
      <t>app</t>
    </r>
    <r>
      <rPr>
        <sz val="10"/>
        <color theme="1"/>
        <rFont val="Times New Roman"/>
        <family val="1"/>
      </rPr>
      <t>/K</t>
    </r>
    <r>
      <rPr>
        <vertAlign val="subscript"/>
        <sz val="10"/>
        <color theme="1"/>
        <rFont val="Times New Roman"/>
        <family val="1"/>
      </rPr>
      <t>M</t>
    </r>
    <r>
      <rPr>
        <vertAlign val="superscript"/>
        <sz val="10"/>
        <color theme="1"/>
        <rFont val="Times New Roman"/>
        <family val="1"/>
      </rPr>
      <t>app</t>
    </r>
    <r>
      <rPr>
        <sz val="10"/>
        <color theme="1"/>
        <rFont val="Times New Roman"/>
        <family val="1"/>
      </rPr>
      <t xml:space="preserve">= </t>
    </r>
  </si>
  <si>
    <r>
      <rPr>
        <b/>
        <i/>
        <sz val="11"/>
        <color theme="1"/>
        <rFont val="Calibri"/>
        <family val="2"/>
        <scheme val="minor"/>
      </rPr>
      <t>Sf</t>
    </r>
    <r>
      <rPr>
        <b/>
        <sz val="11"/>
        <color theme="1"/>
        <rFont val="Calibri"/>
        <family val="2"/>
        <scheme val="minor"/>
      </rPr>
      <t>CinS1(F571Y)</t>
    </r>
  </si>
  <si>
    <t>± 6.1410</t>
  </si>
  <si>
    <t>± 14.2622</t>
  </si>
  <si>
    <t>± 0.0302</t>
  </si>
  <si>
    <t>±  0.1223</t>
  </si>
  <si>
    <r>
      <rPr>
        <b/>
        <i/>
        <sz val="11"/>
        <color theme="1"/>
        <rFont val="Calibri"/>
        <family val="2"/>
        <scheme val="minor"/>
      </rPr>
      <t>Sf</t>
    </r>
    <r>
      <rPr>
        <b/>
        <sz val="11"/>
        <color theme="1"/>
        <rFont val="Calibri"/>
        <family val="2"/>
        <scheme val="minor"/>
      </rPr>
      <t>CinS1(F571H)</t>
    </r>
  </si>
  <si>
    <t>± 5.0714</t>
  </si>
  <si>
    <t>± 34.3533</t>
  </si>
  <si>
    <t>± 0.0942</t>
  </si>
  <si>
    <t>±  0.0841</t>
  </si>
  <si>
    <r>
      <rPr>
        <b/>
        <i/>
        <sz val="11"/>
        <color theme="1"/>
        <rFont val="Calibri"/>
        <family val="2"/>
        <scheme val="minor"/>
      </rPr>
      <t>Sf</t>
    </r>
    <r>
      <rPr>
        <b/>
        <sz val="11"/>
        <color theme="1"/>
        <rFont val="Calibri"/>
        <family val="2"/>
        <scheme val="minor"/>
      </rPr>
      <t>CinS1(F571V)</t>
    </r>
  </si>
  <si>
    <t>± 95.3500</t>
  </si>
  <si>
    <t>± 13.3010</t>
  </si>
  <si>
    <t>± 0.0828</t>
  </si>
  <si>
    <t>±  0.0439</t>
  </si>
  <si>
    <r>
      <rPr>
        <b/>
        <i/>
        <sz val="11"/>
        <color theme="1"/>
        <rFont val="Calibri"/>
        <family val="2"/>
        <scheme val="minor"/>
      </rPr>
      <t>Sf</t>
    </r>
    <r>
      <rPr>
        <b/>
        <sz val="11"/>
        <color theme="1"/>
        <rFont val="Calibri"/>
        <family val="2"/>
        <scheme val="minor"/>
      </rPr>
      <t>CinS1(F571L)</t>
    </r>
  </si>
  <si>
    <t>± 9.2240</t>
  </si>
  <si>
    <t>± 17.6302</t>
  </si>
  <si>
    <t>± 0.0738</t>
  </si>
  <si>
    <t>±  0.08</t>
  </si>
  <si>
    <r>
      <rPr>
        <b/>
        <i/>
        <sz val="11"/>
        <color theme="1"/>
        <rFont val="Calibri"/>
        <family val="2"/>
        <scheme val="minor"/>
      </rPr>
      <t>Cl</t>
    </r>
    <r>
      <rPr>
        <b/>
        <sz val="11"/>
        <color theme="1"/>
        <rFont val="Calibri"/>
        <family val="2"/>
        <scheme val="minor"/>
      </rPr>
      <t>LimS wild-type</t>
    </r>
  </si>
  <si>
    <t>± 3.76</t>
  </si>
  <si>
    <t>± 7.3320</t>
  </si>
  <si>
    <t>± 0.88</t>
  </si>
  <si>
    <t>±  1.7611</t>
  </si>
  <si>
    <r>
      <rPr>
        <b/>
        <i/>
        <sz val="11"/>
        <color theme="1"/>
        <rFont val="Calibri"/>
        <family val="2"/>
        <scheme val="minor"/>
      </rPr>
      <t>Cl</t>
    </r>
    <r>
      <rPr>
        <b/>
        <sz val="11"/>
        <color theme="1"/>
        <rFont val="Calibri"/>
        <family val="2"/>
        <scheme val="minor"/>
      </rPr>
      <t>LimS(H570F)</t>
    </r>
  </si>
  <si>
    <t>± 7.2031</t>
  </si>
  <si>
    <t>± 5.1421</t>
  </si>
  <si>
    <t>± 2.5012</t>
  </si>
  <si>
    <t>±  1.8200</t>
  </si>
  <si>
    <r>
      <rPr>
        <b/>
        <i/>
        <sz val="11"/>
        <color theme="1"/>
        <rFont val="Calibri"/>
        <family val="2"/>
        <scheme val="minor"/>
      </rPr>
      <t>Cl</t>
    </r>
    <r>
      <rPr>
        <b/>
        <sz val="11"/>
        <color theme="1"/>
        <rFont val="Calibri"/>
        <family val="2"/>
        <scheme val="minor"/>
      </rPr>
      <t>LimS(H570Y)</t>
    </r>
  </si>
  <si>
    <t>± 4.8212</t>
  </si>
  <si>
    <t>± 6.41</t>
  </si>
  <si>
    <t>± 0.43</t>
  </si>
  <si>
    <t>±  1.66</t>
  </si>
  <si>
    <r>
      <rPr>
        <b/>
        <i/>
        <sz val="11"/>
        <color theme="1"/>
        <rFont val="Calibri"/>
        <family val="2"/>
        <scheme val="minor"/>
      </rPr>
      <t>Cl</t>
    </r>
    <r>
      <rPr>
        <b/>
        <sz val="11"/>
        <color theme="1"/>
        <rFont val="Calibri"/>
        <family val="2"/>
        <scheme val="minor"/>
      </rPr>
      <t>LimS(H570L)</t>
    </r>
  </si>
  <si>
    <t>± 6.72</t>
  </si>
  <si>
    <t>± 19.3012</t>
  </si>
  <si>
    <t>± 0.07</t>
  </si>
  <si>
    <t>±  0.6600</t>
  </si>
  <si>
    <r>
      <rPr>
        <b/>
        <i/>
        <sz val="11"/>
        <color theme="1"/>
        <rFont val="Calibri"/>
        <family val="2"/>
        <scheme val="minor"/>
      </rPr>
      <t>Cl</t>
    </r>
    <r>
      <rPr>
        <b/>
        <sz val="11"/>
        <color theme="1"/>
        <rFont val="Calibri"/>
        <family val="2"/>
        <scheme val="minor"/>
      </rPr>
      <t>LimS(H570V)</t>
    </r>
  </si>
  <si>
    <t>± 12.42</t>
  </si>
  <si>
    <t>± 14.14</t>
  </si>
  <si>
    <t>± 0.08</t>
  </si>
  <si>
    <t>±  0.10</t>
  </si>
  <si>
    <r>
      <rPr>
        <b/>
        <i/>
        <sz val="11"/>
        <color theme="1"/>
        <rFont val="Calibri"/>
        <family val="2"/>
        <scheme val="minor"/>
      </rPr>
      <t>Cl</t>
    </r>
    <r>
      <rPr>
        <b/>
        <sz val="11"/>
        <color theme="1"/>
        <rFont val="Calibri"/>
        <family val="2"/>
        <scheme val="minor"/>
      </rPr>
      <t>LimS(H570I)</t>
    </r>
  </si>
  <si>
    <t>± 6.44</t>
  </si>
  <si>
    <t>± 4.72</t>
  </si>
  <si>
    <t>± 0.02</t>
  </si>
  <si>
    <t>±  0.13</t>
  </si>
  <si>
    <r>
      <t xml:space="preserve">[IPP] </t>
    </r>
    <r>
      <rPr>
        <sz val="11"/>
        <color theme="1"/>
        <rFont val="Calibri"/>
        <family val="2"/>
      </rPr>
      <t>µM</t>
    </r>
  </si>
  <si>
    <r>
      <t xml:space="preserve">[DMAPP] </t>
    </r>
    <r>
      <rPr>
        <sz val="11"/>
        <color theme="1"/>
        <rFont val="Calibri"/>
        <family val="2"/>
      </rPr>
      <t>µM</t>
    </r>
  </si>
  <si>
    <t>± 17.41</t>
  </si>
  <si>
    <t>μM</t>
  </si>
  <si>
    <t>± 6.324</t>
  </si>
  <si>
    <t>± 0.0038</t>
  </si>
  <si>
    <r>
      <t>min</t>
    </r>
    <r>
      <rPr>
        <vertAlign val="superscript"/>
        <sz val="11"/>
        <color theme="1"/>
        <rFont val="Calibri"/>
        <family val="2"/>
        <scheme val="minor"/>
      </rPr>
      <t>-1</t>
    </r>
  </si>
  <si>
    <t>±  0.0014</t>
  </si>
  <si>
    <t>% of wild-type yield with GPP only</t>
  </si>
  <si>
    <t xml:space="preserve">data set #1 </t>
  </si>
  <si>
    <t>The yeast extract of AM94 + LimSwt + Erg20p cells was used in enzymatic reactions followed by acid hydrolysis.</t>
  </si>
  <si>
    <t>Conversion based on 10 mg/L limonene standard having a peak area of 881,3 and the samples</t>
  </si>
  <si>
    <t>MW limonene = 136,238 g/mol</t>
  </si>
  <si>
    <t>MW geraniol = 154,25 g/mol</t>
  </si>
  <si>
    <t>MW farnesol = 222,37 g/mol</t>
  </si>
  <si>
    <t>GPP* - GPP derived products</t>
  </si>
  <si>
    <t>FPP* - FPP derived products</t>
  </si>
  <si>
    <t>peak area terpenoids</t>
  </si>
  <si>
    <t>GPP*</t>
  </si>
  <si>
    <t>FPP*</t>
  </si>
  <si>
    <t>no precursors</t>
  </si>
  <si>
    <t>25 µM DMAPP + 100 µM IPP</t>
  </si>
  <si>
    <t>25 µM GPP</t>
  </si>
  <si>
    <t>25 µM GPP + 25 µM DMAPP + 100 µM IPP</t>
  </si>
  <si>
    <t>µg/L  terpenoids</t>
  </si>
  <si>
    <t xml:space="preserve">25 µM GPP </t>
  </si>
  <si>
    <t>µM terpenoids</t>
  </si>
  <si>
    <t>The yeast extract of AM94 + LimSwt + Erg20p cells was used in enzymatic reactions.</t>
  </si>
  <si>
    <r>
      <t>Substrates added: 20 µM</t>
    </r>
    <r>
      <rPr>
        <vertAlign val="superscript"/>
        <sz val="11"/>
        <color theme="1"/>
        <rFont val="Calibri"/>
        <family val="2"/>
        <scheme val="minor"/>
      </rPr>
      <t xml:space="preserve"> 13</t>
    </r>
    <r>
      <rPr>
        <sz val="11"/>
        <color theme="1"/>
        <rFont val="Calibri"/>
        <family val="2"/>
        <scheme val="minor"/>
      </rPr>
      <t>C-GPP</t>
    </r>
  </si>
  <si>
    <t>qTOF analysis</t>
  </si>
  <si>
    <t>m/z</t>
  </si>
  <si>
    <t xml:space="preserve">Intensity </t>
  </si>
  <si>
    <t>%</t>
  </si>
  <si>
    <t>TIC area</t>
  </si>
  <si>
    <t>% labeled</t>
  </si>
  <si>
    <t>% unlabled</t>
  </si>
  <si>
    <t>STD ERROR</t>
  </si>
  <si>
    <t>weighted average</t>
  </si>
  <si>
    <t>limonene peak area</t>
  </si>
  <si>
    <r>
      <t>Substrates added: 40 µM DMAPP, 120 µM IPP, 20 µM</t>
    </r>
    <r>
      <rPr>
        <vertAlign val="superscript"/>
        <sz val="11"/>
        <color theme="1"/>
        <rFont val="Calibri"/>
        <family val="2"/>
        <scheme val="minor"/>
      </rPr>
      <t xml:space="preserve"> 13</t>
    </r>
    <r>
      <rPr>
        <sz val="11"/>
        <color theme="1"/>
        <rFont val="Calibri"/>
        <family val="2"/>
        <scheme val="minor"/>
      </rPr>
      <t>C-GPP</t>
    </r>
  </si>
  <si>
    <t>Intensity</t>
  </si>
  <si>
    <t>no C5 precursor</t>
  </si>
  <si>
    <t>with DMAPP+IPP</t>
  </si>
  <si>
    <t>AM94</t>
  </si>
  <si>
    <r>
      <t>OD</t>
    </r>
    <r>
      <rPr>
        <b/>
        <vertAlign val="subscript"/>
        <sz val="11"/>
        <color theme="1"/>
        <rFont val="Calibri"/>
        <family val="2"/>
        <scheme val="minor"/>
      </rPr>
      <t>600</t>
    </r>
  </si>
  <si>
    <t>h</t>
  </si>
  <si>
    <t>0 mg/L</t>
  </si>
  <si>
    <t>30 mg/L limonene</t>
  </si>
  <si>
    <t>100 mg/L limonene</t>
  </si>
  <si>
    <t>500 mg/L limonene</t>
  </si>
  <si>
    <t>30 mg/L sabinene</t>
  </si>
  <si>
    <t>100 mg/L sabinene</t>
  </si>
  <si>
    <t>500 mg/L sabinene</t>
  </si>
  <si>
    <t xml:space="preserve">Limonene production </t>
  </si>
  <si>
    <t>No limonene supplementation</t>
  </si>
  <si>
    <t xml:space="preserve">30 mg/L limonene supplementation </t>
  </si>
  <si>
    <t xml:space="preserve">100 mg/L limonene supplementation </t>
  </si>
  <si>
    <r>
      <rPr>
        <b/>
        <i/>
        <sz val="11"/>
        <color theme="1"/>
        <rFont val="Calibri"/>
        <family val="2"/>
        <scheme val="minor"/>
      </rPr>
      <t>Sf</t>
    </r>
    <r>
      <rPr>
        <b/>
        <sz val="11"/>
        <color theme="1"/>
        <rFont val="Calibri"/>
        <family val="2"/>
        <scheme val="minor"/>
      </rPr>
      <t>CinS</t>
    </r>
  </si>
  <si>
    <t>normalized monoterpene peak area</t>
  </si>
  <si>
    <t>1.8-cineole</t>
  </si>
  <si>
    <t>α-pinene</t>
  </si>
  <si>
    <t>β-pinene</t>
  </si>
  <si>
    <t>β-myrcene</t>
  </si>
  <si>
    <t>γ-terpinene</t>
  </si>
  <si>
    <t>α-terpinene</t>
  </si>
  <si>
    <t>α-terpineol</t>
  </si>
  <si>
    <t>terpin-4-ol</t>
  </si>
  <si>
    <t>TOTAL</t>
  </si>
  <si>
    <r>
      <rPr>
        <b/>
        <i/>
        <sz val="11"/>
        <color theme="1"/>
        <rFont val="Calibri"/>
        <family val="2"/>
        <scheme val="minor"/>
      </rPr>
      <t>Cl</t>
    </r>
    <r>
      <rPr>
        <b/>
        <sz val="11"/>
        <color theme="1"/>
        <rFont val="Calibri"/>
        <family val="2"/>
        <scheme val="minor"/>
      </rPr>
      <t>LimS</t>
    </r>
  </si>
  <si>
    <r>
      <rPr>
        <b/>
        <i/>
        <sz val="11"/>
        <color theme="1"/>
        <rFont val="Calibri"/>
        <family val="2"/>
        <scheme val="minor"/>
      </rPr>
      <t>Sp</t>
    </r>
    <r>
      <rPr>
        <b/>
        <sz val="11"/>
        <color theme="1"/>
        <rFont val="Calibri"/>
        <family val="2"/>
        <scheme val="minor"/>
      </rPr>
      <t>SabS</t>
    </r>
  </si>
  <si>
    <t>α-phellandrene</t>
  </si>
  <si>
    <r>
      <rPr>
        <b/>
        <i/>
        <sz val="11"/>
        <color theme="1"/>
        <rFont val="Calibri"/>
        <family val="2"/>
        <scheme val="minor"/>
      </rPr>
      <t>Se</t>
    </r>
    <r>
      <rPr>
        <b/>
        <sz val="11"/>
        <color theme="1"/>
        <rFont val="Calibri"/>
        <family val="2"/>
        <scheme val="minor"/>
      </rPr>
      <t>CamS</t>
    </r>
  </si>
  <si>
    <t>tricyclene</t>
  </si>
  <si>
    <t>borneol</t>
  </si>
  <si>
    <t xml:space="preserve">4-carene </t>
  </si>
  <si>
    <r>
      <rPr>
        <b/>
        <i/>
        <sz val="11"/>
        <color theme="1"/>
        <rFont val="Calibri"/>
        <family val="2"/>
        <scheme val="minor"/>
      </rPr>
      <t>Pt</t>
    </r>
    <r>
      <rPr>
        <b/>
        <sz val="11"/>
        <color theme="1"/>
        <rFont val="Calibri"/>
        <family val="2"/>
        <scheme val="minor"/>
      </rPr>
      <t>PinS</t>
    </r>
  </si>
  <si>
    <t xml:space="preserve">25 µM NPP </t>
  </si>
  <si>
    <t>25 µM NPP + 25 µM DMAPP + 100 µM IPP</t>
  </si>
  <si>
    <r>
      <t>Substrates added: 40 µM DMAPP, 120 µM IPP, 10 µM</t>
    </r>
    <r>
      <rPr>
        <vertAlign val="superscript"/>
        <sz val="11"/>
        <color theme="1"/>
        <rFont val="Calibri"/>
        <family val="2"/>
        <scheme val="minor"/>
      </rPr>
      <t xml:space="preserve"> 13</t>
    </r>
    <r>
      <rPr>
        <sz val="11"/>
        <color theme="1"/>
        <rFont val="Calibri"/>
        <family val="2"/>
        <scheme val="minor"/>
      </rPr>
      <t>C-NPP</t>
    </r>
  </si>
  <si>
    <r>
      <t>Substrates added: 40 µM DMAPP, 120 µM IPP, 20 µM</t>
    </r>
    <r>
      <rPr>
        <vertAlign val="superscript"/>
        <sz val="11"/>
        <color theme="1"/>
        <rFont val="Calibri"/>
        <family val="2"/>
        <scheme val="minor"/>
      </rPr>
      <t xml:space="preserve"> 13</t>
    </r>
    <r>
      <rPr>
        <sz val="11"/>
        <color theme="1"/>
        <rFont val="Calibri"/>
        <family val="2"/>
        <scheme val="minor"/>
      </rPr>
      <t>C-NPP</t>
    </r>
  </si>
  <si>
    <r>
      <t>Substrates added: 40 µM DMAPP, 120 µM IPP, 30 µM</t>
    </r>
    <r>
      <rPr>
        <vertAlign val="superscript"/>
        <sz val="11"/>
        <color theme="1"/>
        <rFont val="Calibri"/>
        <family val="2"/>
        <scheme val="minor"/>
      </rPr>
      <t xml:space="preserve"> 13</t>
    </r>
    <r>
      <rPr>
        <sz val="11"/>
        <color theme="1"/>
        <rFont val="Calibri"/>
        <family val="2"/>
        <scheme val="minor"/>
      </rPr>
      <t>C-NPP</t>
    </r>
  </si>
  <si>
    <r>
      <t>Substrates added: 40 µM DMAPP, 120 µM IPP, 40 µM</t>
    </r>
    <r>
      <rPr>
        <vertAlign val="superscript"/>
        <sz val="11"/>
        <color theme="1"/>
        <rFont val="Calibri"/>
        <family val="2"/>
        <scheme val="minor"/>
      </rPr>
      <t xml:space="preserve"> 13</t>
    </r>
    <r>
      <rPr>
        <sz val="11"/>
        <color theme="1"/>
        <rFont val="Calibri"/>
        <family val="2"/>
        <scheme val="minor"/>
      </rPr>
      <t>C-NPP</t>
    </r>
  </si>
  <si>
    <r>
      <t xml:space="preserve"> 40 µM DMAPP, 120 µM IPP, 10 µM 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C-NPP</t>
    </r>
  </si>
  <si>
    <r>
      <t xml:space="preserve"> 40 µM DMAPP, 120 µM IPP, 20 µM 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C-NPP</t>
    </r>
  </si>
  <si>
    <r>
      <t xml:space="preserve"> 40 µM DMAPP, 120 µM IPP, 30 µM 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C-NPP</t>
    </r>
  </si>
  <si>
    <r>
      <t xml:space="preserve"> 40 µM DMAPP, 120 µM IPP, 40 µM 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C-NPP</t>
    </r>
  </si>
  <si>
    <t>Time (h)</t>
  </si>
  <si>
    <r>
      <t>Substrates added in all reactions: 40 µM DMAPP, 120 µM IPP</t>
    </r>
    <r>
      <rPr>
        <b/>
        <sz val="11"/>
        <color theme="1"/>
        <rFont val="Calibri"/>
        <family val="2"/>
        <scheme val="minor"/>
      </rPr>
      <t/>
    </r>
  </si>
  <si>
    <t>substrates [µM]</t>
  </si>
  <si>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C-NPP</t>
    </r>
  </si>
  <si>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C-NPP/GPP</t>
    </r>
  </si>
  <si>
    <t>Additional substrates:</t>
  </si>
  <si>
    <t>Reaction 1.</t>
  </si>
  <si>
    <r>
      <t xml:space="preserve">0 µM 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 xml:space="preserve">C-NPP </t>
    </r>
  </si>
  <si>
    <t>40 µM GPP</t>
  </si>
  <si>
    <t>Reaction 2.</t>
  </si>
  <si>
    <r>
      <t xml:space="preserve">4 µM 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 xml:space="preserve">C-NPP </t>
    </r>
  </si>
  <si>
    <t>36 µM GPP</t>
  </si>
  <si>
    <t>Reaction 3.</t>
  </si>
  <si>
    <r>
      <t xml:space="preserve">6 µM 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 xml:space="preserve">C-NPP </t>
    </r>
  </si>
  <si>
    <t>34 µM GPP</t>
  </si>
  <si>
    <t>Reaction 4.</t>
  </si>
  <si>
    <r>
      <t xml:space="preserve">10 µM 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 xml:space="preserve">C-NPP </t>
    </r>
  </si>
  <si>
    <t>30 µM GPP</t>
  </si>
  <si>
    <t>Reaction 5.</t>
  </si>
  <si>
    <r>
      <t xml:space="preserve">14 µM 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 xml:space="preserve">C-NPP </t>
    </r>
  </si>
  <si>
    <t>26 µM GPP</t>
  </si>
  <si>
    <t>Reaction 6.</t>
  </si>
  <si>
    <r>
      <t xml:space="preserve">20 µM 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 xml:space="preserve">C-NPP </t>
    </r>
  </si>
  <si>
    <t>20 µM GPP</t>
  </si>
  <si>
    <t>Reaction 7.</t>
  </si>
  <si>
    <r>
      <t xml:space="preserve">26 µM 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 xml:space="preserve">C-NPP </t>
    </r>
  </si>
  <si>
    <t>14 µM GPP</t>
  </si>
  <si>
    <t>Reaction 8.</t>
  </si>
  <si>
    <r>
      <t xml:space="preserve">40 µM 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 xml:space="preserve">C-NPP </t>
    </r>
  </si>
  <si>
    <t>0 µM GPP</t>
  </si>
  <si>
    <t>Western blot was imaged in a Bio-Rad ChemiDoc™ MP imaging system. The saved image is presented.</t>
  </si>
  <si>
    <t>SDS gels were imaged in a Bio-Rad ChemiDoc™ MP imaging system. The saved images are presented.</t>
  </si>
  <si>
    <t>MIC2</t>
  </si>
  <si>
    <t>Strain</t>
  </si>
  <si>
    <t>Protein expressed</t>
  </si>
  <si>
    <r>
      <t xml:space="preserve">Erg20p(N127W)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>LimS wt</t>
    </r>
  </si>
  <si>
    <r>
      <t xml:space="preserve">Erg20p(N127W)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>LimS(H570F)</t>
    </r>
  </si>
  <si>
    <r>
      <t xml:space="preserve">Erg20p(N127W)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>LimS(H570Y)</t>
    </r>
  </si>
  <si>
    <r>
      <t xml:space="preserve">Erg20p(N127W) + </t>
    </r>
    <r>
      <rPr>
        <i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>SabS wt</t>
    </r>
  </si>
  <si>
    <r>
      <t xml:space="preserve">Erg20p(N127W) + </t>
    </r>
    <r>
      <rPr>
        <i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>SabS(H561F)</t>
    </r>
  </si>
  <si>
    <t>Limonene</t>
  </si>
  <si>
    <t>Sabinene</t>
  </si>
  <si>
    <t>Product</t>
  </si>
  <si>
    <t>MIC3</t>
  </si>
  <si>
    <t>Product titer</t>
  </si>
  <si>
    <t>Nerol titer</t>
  </si>
  <si>
    <t>Total limonene  (µM)</t>
  </si>
  <si>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Limonene  (µM)</t>
    </r>
  </si>
  <si>
    <t>GPP+NPP*</t>
  </si>
  <si>
    <t>GPP+NPP* - GPP and NPP derived products</t>
  </si>
  <si>
    <r>
      <rPr>
        <b/>
        <i/>
        <sz val="11"/>
        <color theme="1"/>
        <rFont val="Calibri"/>
        <family val="2"/>
        <scheme val="minor"/>
      </rPr>
      <t>Sl</t>
    </r>
    <r>
      <rPr>
        <b/>
        <sz val="11"/>
        <color theme="1"/>
        <rFont val="Calibri"/>
        <family val="2"/>
        <scheme val="minor"/>
      </rPr>
      <t>NPPS1</t>
    </r>
  </si>
  <si>
    <t xml:space="preserve">empty vector </t>
  </si>
  <si>
    <r>
      <t xml:space="preserve">Supplementary Figure 7. Uncropped version of the western blot analysis of myc-tagged </t>
    </r>
    <r>
      <rPr>
        <b/>
        <i/>
        <sz val="11"/>
        <color theme="1"/>
        <rFont val="Times New Roman"/>
        <family val="1"/>
      </rPr>
      <t>Sl</t>
    </r>
    <r>
      <rPr>
        <b/>
        <sz val="11"/>
        <color theme="1"/>
        <rFont val="Times New Roman"/>
        <family val="1"/>
      </rPr>
      <t>NPPS1, Erg20p(N127W) and two fusion proteins in different orientation, Erg20p(N127W)-</t>
    </r>
    <r>
      <rPr>
        <b/>
        <i/>
        <sz val="11"/>
        <color theme="1"/>
        <rFont val="Times New Roman"/>
        <family val="1"/>
      </rPr>
      <t>Sl</t>
    </r>
    <r>
      <rPr>
        <b/>
        <sz val="11"/>
        <color theme="1"/>
        <rFont val="Times New Roman"/>
        <family val="1"/>
      </rPr>
      <t xml:space="preserve">NPPS1 and </t>
    </r>
    <r>
      <rPr>
        <b/>
        <i/>
        <sz val="11"/>
        <color theme="1"/>
        <rFont val="Times New Roman"/>
        <family val="1"/>
      </rPr>
      <t>Sl</t>
    </r>
    <r>
      <rPr>
        <b/>
        <sz val="11"/>
        <color theme="1"/>
        <rFont val="Times New Roman"/>
        <family val="1"/>
      </rPr>
      <t>NPPS1-Erg20p(N127W) fusion.</t>
    </r>
  </si>
  <si>
    <r>
      <t xml:space="preserve">First we measure all the mass intensities of two unlabeled and labeled Limonene peaks made from substrates that is either unlabeled (NPP) or labeled with 2 </t>
    </r>
    <r>
      <rPr>
        <vertAlign val="superscript"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C atoms (2</t>
    </r>
    <r>
      <rPr>
        <vertAlign val="superscript"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C-GPP)</t>
    </r>
  </si>
  <si>
    <r>
      <t xml:space="preserve">There was a heavy presence of a -2H ion which complicates the analysis, as our equipment lacked the resolution to separate the masses of unlabeled and the labeled -2H ions in a mixed sample. In addition, there is the slight natural abundance of </t>
    </r>
    <r>
      <rPr>
        <vertAlign val="superscript"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C in the unlabeled substrate.</t>
    </r>
  </si>
  <si>
    <t>The ratio between unlabeled and labeled limonene could therefore not accurately be calculated directly from the +2 shift in major mass ions such as 137 to 139. We instead look towards ions with as little overlap (signal-to-noise) as possible between the samples.</t>
  </si>
  <si>
    <t>Mass spectra and signal intensities at each m/z for the two limonene samples:</t>
  </si>
  <si>
    <t>sample 1366</t>
  </si>
  <si>
    <t>sample 1370</t>
  </si>
  <si>
    <t>The ratio between the m/z intensities in the two samples will be used as an measure of signal-to-noise (S/N)</t>
  </si>
  <si>
    <t>40µM NPP</t>
  </si>
  <si>
    <r>
      <t xml:space="preserve">40µM </t>
    </r>
    <r>
      <rPr>
        <vertAlign val="superscript"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C-GPP</t>
    </r>
  </si>
  <si>
    <t xml:space="preserve">m/z  </t>
  </si>
  <si>
    <t>Unlabeled int.</t>
  </si>
  <si>
    <t>Labeled int.</t>
  </si>
  <si>
    <t>un/la (S/N)</t>
  </si>
  <si>
    <t>la/un (S/N)</t>
  </si>
  <si>
    <t>total intensity</t>
  </si>
  <si>
    <t>ratio in total int.</t>
  </si>
  <si>
    <t>Selected ion pairs based on best signal-to-noise (217/223 not chosen due to low intensity of 217 which will be a problem in lower concentrated samples)</t>
  </si>
  <si>
    <t>Normalized numbers by  total intensity in each sample so the ions are relative to the limonene quantity and can be used to calculate the relative contribution to the limonene</t>
  </si>
  <si>
    <t>combined S/N</t>
  </si>
  <si>
    <t xml:space="preserve"> un/la ion ratio multiplier</t>
  </si>
  <si>
    <t>total</t>
  </si>
  <si>
    <t>The "combined S/N" signal to noise is used as a measure of the quality of the ions in order to make an weighted average of labeled/unlabeled ratio later</t>
  </si>
  <si>
    <t xml:space="preserve">The un/la ion ratio multiplier, is a multiplier for the labeled ion (139,170,195,209), which will make it equal to the unlabeled ion (135,139,191,205), when labeled and unlabeled limonene is at equal concentration. </t>
  </si>
  <si>
    <t>After applying the multiplier to an labeled ion, it can be compared directly with the unlabeled ion and the ratio between them calculated.</t>
  </si>
  <si>
    <t>Calculation of labeled to unlabeled ratio using ion intensities from the unlabeled NPP sample using the new formula:</t>
  </si>
  <si>
    <t>Ion Intensity</t>
  </si>
  <si>
    <t>% unlabeled</t>
  </si>
  <si>
    <t>weighted STD ERROR</t>
  </si>
  <si>
    <t>weighted average*</t>
  </si>
  <si>
    <t xml:space="preserve">*using combined S/N as weighing </t>
  </si>
  <si>
    <t>Formulas updated with constants for the multipliers and weights using only Intensities as variables for easy transfer to other excel sheets</t>
  </si>
  <si>
    <r>
      <t>Calculation using the labeled 2</t>
    </r>
    <r>
      <rPr>
        <vertAlign val="superscript"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C-GPP spectra</t>
    </r>
  </si>
  <si>
    <r>
      <t>Calculation on a mixed Limonene peak from made by LimS from 20 µM NPP+20 µM 2</t>
    </r>
    <r>
      <rPr>
        <vertAlign val="superscript"/>
        <sz val="11"/>
        <color rgb="FF000000"/>
        <rFont val="Calibri"/>
        <family val="2"/>
        <scheme val="minor"/>
      </rPr>
      <t>13</t>
    </r>
    <r>
      <rPr>
        <sz val="11"/>
        <color rgb="FF000000"/>
        <rFont val="Calibri"/>
        <family val="2"/>
        <scheme val="minor"/>
      </rPr>
      <t>C-GPP</t>
    </r>
  </si>
  <si>
    <t>Calculation of labeled/unlabeled limonene ratio in samples resulted from a mixture of labeled/unlabeled precursors</t>
  </si>
  <si>
    <r>
      <rPr>
        <b/>
        <i/>
        <sz val="11"/>
        <color theme="1"/>
        <rFont val="Calibri"/>
        <family val="2"/>
        <scheme val="minor"/>
      </rPr>
      <t>Se</t>
    </r>
    <r>
      <rPr>
        <b/>
        <sz val="11"/>
        <color theme="1"/>
        <rFont val="Calibri"/>
        <family val="2"/>
        <scheme val="minor"/>
      </rPr>
      <t>CamS wt</t>
    </r>
  </si>
  <si>
    <t>± 2.779</t>
  </si>
  <si>
    <t>± 0.2299</t>
  </si>
  <si>
    <t>± 12.48</t>
  </si>
  <si>
    <t>±  0.3945</t>
  </si>
  <si>
    <t>The marked region was cropped and presented in Supplementary Figure 7.</t>
  </si>
  <si>
    <t xml:space="preserve">limonene % from </t>
  </si>
  <si>
    <r>
      <t xml:space="preserve">Detailed calculation of % of limonene produced from </t>
    </r>
    <r>
      <rPr>
        <b/>
        <u/>
        <vertAlign val="superscript"/>
        <sz val="11"/>
        <color theme="1"/>
        <rFont val="Calibri"/>
        <family val="2"/>
        <scheme val="minor"/>
      </rPr>
      <t>13</t>
    </r>
    <r>
      <rPr>
        <b/>
        <u/>
        <sz val="11"/>
        <color theme="1"/>
        <rFont val="Calibri"/>
        <family val="2"/>
        <scheme val="minor"/>
      </rPr>
      <t>C-NPP or GPP</t>
    </r>
  </si>
  <si>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C Limonene  (µM)</t>
    </r>
  </si>
  <si>
    <r>
      <t xml:space="preserve">Detailed calculation of limonene produced from </t>
    </r>
    <r>
      <rPr>
        <b/>
        <u/>
        <vertAlign val="superscript"/>
        <sz val="11"/>
        <color theme="1"/>
        <rFont val="Calibri"/>
        <family val="2"/>
        <scheme val="minor"/>
      </rPr>
      <t>13</t>
    </r>
    <r>
      <rPr>
        <b/>
        <u/>
        <sz val="11"/>
        <color theme="1"/>
        <rFont val="Calibri"/>
        <family val="2"/>
        <scheme val="minor"/>
      </rPr>
      <t>C-NPP</t>
    </r>
  </si>
  <si>
    <t>limonene (mg/L)</t>
  </si>
  <si>
    <t>limonene (µM)</t>
  </si>
  <si>
    <r>
      <t xml:space="preserve">Detailed calculation of limonene produced from </t>
    </r>
    <r>
      <rPr>
        <b/>
        <u/>
        <vertAlign val="superscript"/>
        <sz val="11"/>
        <color theme="1"/>
        <rFont val="Calibri"/>
        <family val="2"/>
        <scheme val="minor"/>
      </rPr>
      <t>13</t>
    </r>
    <r>
      <rPr>
        <b/>
        <u/>
        <sz val="11"/>
        <color theme="1"/>
        <rFont val="Calibri"/>
        <family val="2"/>
        <scheme val="minor"/>
      </rPr>
      <t>C-GPP</t>
    </r>
  </si>
  <si>
    <t xml:space="preserve">from previous step </t>
  </si>
  <si>
    <r>
      <t>min</t>
    </r>
    <r>
      <rPr>
        <vertAlign val="superscript"/>
        <sz val="11"/>
        <color theme="1"/>
        <rFont val="Calibri"/>
        <family val="2"/>
        <scheme val="minor"/>
      </rPr>
      <t xml:space="preserve">-1 </t>
    </r>
    <r>
      <rPr>
        <sz val="11"/>
        <color theme="1"/>
        <rFont val="Calibri"/>
        <family val="2"/>
        <scheme val="minor"/>
      </rPr>
      <t>μM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</si>
  <si>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min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μM</t>
    </r>
    <r>
      <rPr>
        <vertAlign val="superscript"/>
        <sz val="11"/>
        <color theme="1"/>
        <rFont val="Calibri"/>
        <family val="2"/>
        <scheme val="minor"/>
      </rPr>
      <t>-1</t>
    </r>
  </si>
  <si>
    <t>v/[E0] (min-1)</t>
  </si>
  <si>
    <t>nerol mg/L</t>
  </si>
  <si>
    <t>Figure 5g</t>
  </si>
  <si>
    <t>Figure 5d</t>
  </si>
  <si>
    <t>Figure 5c</t>
  </si>
  <si>
    <t>Figure 5b</t>
  </si>
  <si>
    <t>Figure 5a</t>
  </si>
  <si>
    <t>Supplementary Fig. 12 a</t>
  </si>
  <si>
    <r>
      <rPr>
        <b/>
        <i/>
        <sz val="11"/>
        <color theme="1"/>
        <rFont val="Calibri"/>
        <family val="2"/>
        <scheme val="minor"/>
      </rPr>
      <t>Sl</t>
    </r>
    <r>
      <rPr>
        <b/>
        <sz val="11"/>
        <color theme="1"/>
        <rFont val="Calibri"/>
        <family val="2"/>
        <scheme val="minor"/>
      </rPr>
      <t xml:space="preserve">NPPS </t>
    </r>
  </si>
  <si>
    <r>
      <t xml:space="preserve">Erg20p(N127W) + </t>
    </r>
    <r>
      <rPr>
        <i/>
        <sz val="11"/>
        <rFont val="Calibri"/>
        <family val="2"/>
        <scheme val="minor"/>
      </rPr>
      <t>Sp</t>
    </r>
    <r>
      <rPr>
        <sz val="11"/>
        <rFont val="Calibri"/>
        <family val="2"/>
        <scheme val="minor"/>
      </rPr>
      <t>SabS wt</t>
    </r>
  </si>
  <si>
    <r>
      <t xml:space="preserve">Erg20p(N127W) + </t>
    </r>
    <r>
      <rPr>
        <i/>
        <sz val="11"/>
        <rFont val="Calibri"/>
        <family val="2"/>
        <scheme val="minor"/>
      </rPr>
      <t>Sp</t>
    </r>
    <r>
      <rPr>
        <sz val="11"/>
        <rFont val="Calibri"/>
        <family val="2"/>
        <scheme val="minor"/>
      </rPr>
      <t>SabS(H561F)</t>
    </r>
  </si>
  <si>
    <r>
      <t>Erg20p(N127W)-</t>
    </r>
    <r>
      <rPr>
        <i/>
        <sz val="11"/>
        <rFont val="Calibri"/>
        <family val="2"/>
        <scheme val="minor"/>
      </rPr>
      <t>Sl</t>
    </r>
    <r>
      <rPr>
        <sz val="11"/>
        <rFont val="Calibri"/>
        <family val="2"/>
        <scheme val="minor"/>
      </rPr>
      <t xml:space="preserve">NPPS1+ </t>
    </r>
    <r>
      <rPr>
        <i/>
        <sz val="11"/>
        <rFont val="Calibri"/>
        <family val="2"/>
        <scheme val="minor"/>
      </rPr>
      <t>Sp</t>
    </r>
    <r>
      <rPr>
        <sz val="11"/>
        <rFont val="Calibri"/>
        <family val="2"/>
        <scheme val="minor"/>
      </rPr>
      <t>SabS wt</t>
    </r>
  </si>
  <si>
    <r>
      <t>Erg20p(N127W)-</t>
    </r>
    <r>
      <rPr>
        <i/>
        <sz val="11"/>
        <rFont val="Calibri"/>
        <family val="2"/>
        <scheme val="minor"/>
      </rPr>
      <t>Sl</t>
    </r>
    <r>
      <rPr>
        <sz val="11"/>
        <rFont val="Calibri"/>
        <family val="2"/>
        <scheme val="minor"/>
      </rPr>
      <t xml:space="preserve">NPPS1+ </t>
    </r>
    <r>
      <rPr>
        <i/>
        <sz val="11"/>
        <rFont val="Calibri"/>
        <family val="2"/>
        <scheme val="minor"/>
      </rPr>
      <t>Sp</t>
    </r>
    <r>
      <rPr>
        <sz val="11"/>
        <rFont val="Calibri"/>
        <family val="2"/>
        <scheme val="minor"/>
      </rPr>
      <t>SabS(H561F)</t>
    </r>
  </si>
  <si>
    <r>
      <t xml:space="preserve">Erg20p(N127W)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>LimS wt</t>
    </r>
  </si>
  <si>
    <r>
      <t xml:space="preserve">Erg20p(N127W)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>LimS(H570Y)</t>
    </r>
  </si>
  <si>
    <r>
      <t>Erg20p(N127W)-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 xml:space="preserve">NPPS1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>LimS wt</t>
    </r>
  </si>
  <si>
    <r>
      <t>Erg20p(N127W)-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 xml:space="preserve">NPPS1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>LimS(H570Y)</t>
    </r>
  </si>
  <si>
    <r>
      <t xml:space="preserve">Erg20p(N127W) + </t>
    </r>
    <r>
      <rPr>
        <i/>
        <sz val="11"/>
        <rFont val="Calibri"/>
        <family val="2"/>
        <scheme val="minor"/>
      </rPr>
      <t>Cl</t>
    </r>
    <r>
      <rPr>
        <sz val="11"/>
        <rFont val="Calibri"/>
        <family val="2"/>
        <scheme val="minor"/>
      </rPr>
      <t>LimS wt</t>
    </r>
  </si>
  <si>
    <r>
      <t xml:space="preserve">Erg20p(N127W) + </t>
    </r>
    <r>
      <rPr>
        <i/>
        <sz val="11"/>
        <rFont val="Calibri"/>
        <family val="2"/>
        <scheme val="minor"/>
      </rPr>
      <t>Cl</t>
    </r>
    <r>
      <rPr>
        <sz val="11"/>
        <rFont val="Calibri"/>
        <family val="2"/>
        <scheme val="minor"/>
      </rPr>
      <t>LimS(H570Y)</t>
    </r>
  </si>
  <si>
    <r>
      <t>Erg20p(N127W)-</t>
    </r>
    <r>
      <rPr>
        <i/>
        <sz val="11"/>
        <rFont val="Calibri"/>
        <family val="2"/>
        <scheme val="minor"/>
      </rPr>
      <t>Sl</t>
    </r>
    <r>
      <rPr>
        <sz val="11"/>
        <rFont val="Calibri"/>
        <family val="2"/>
        <scheme val="minor"/>
      </rPr>
      <t xml:space="preserve">NPPS1 + </t>
    </r>
    <r>
      <rPr>
        <i/>
        <sz val="11"/>
        <rFont val="Calibri"/>
        <family val="2"/>
        <scheme val="minor"/>
      </rPr>
      <t>Cl</t>
    </r>
    <r>
      <rPr>
        <sz val="11"/>
        <rFont val="Calibri"/>
        <family val="2"/>
        <scheme val="minor"/>
      </rPr>
      <t>LimS wt</t>
    </r>
  </si>
  <si>
    <r>
      <t>Erg20p(N127W)-</t>
    </r>
    <r>
      <rPr>
        <i/>
        <sz val="11"/>
        <rFont val="Calibri"/>
        <family val="2"/>
        <scheme val="minor"/>
      </rPr>
      <t>Sl</t>
    </r>
    <r>
      <rPr>
        <sz val="11"/>
        <rFont val="Calibri"/>
        <family val="2"/>
        <scheme val="minor"/>
      </rPr>
      <t xml:space="preserve">NPPS1 + </t>
    </r>
    <r>
      <rPr>
        <i/>
        <sz val="11"/>
        <rFont val="Calibri"/>
        <family val="2"/>
        <scheme val="minor"/>
      </rPr>
      <t>Cl</t>
    </r>
    <r>
      <rPr>
        <sz val="11"/>
        <rFont val="Calibri"/>
        <family val="2"/>
        <scheme val="minor"/>
      </rPr>
      <t>LimS(H570Y)</t>
    </r>
  </si>
  <si>
    <r>
      <t>v/[E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] (min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</si>
  <si>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weighted* STD ERROR</t>
  </si>
  <si>
    <r>
      <t>AM94+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>NPPS1</t>
    </r>
  </si>
  <si>
    <r>
      <t>AM94+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>NPPS1+Erg20(N127W)</t>
    </r>
  </si>
  <si>
    <r>
      <t>MIC2+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>NPPS1+Erg20(N127W)</t>
    </r>
  </si>
  <si>
    <r>
      <t>MIC2+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>NPPS1-Erg20(N127W)</t>
    </r>
  </si>
  <si>
    <r>
      <t xml:space="preserve">Uncropped version of the SDS-PAGE gel of the empty vector, ERG20p, </t>
    </r>
    <r>
      <rPr>
        <i/>
        <sz val="11"/>
        <color theme="1"/>
        <rFont val="Calibri"/>
        <family val="2"/>
        <scheme val="minor"/>
      </rPr>
      <t>Sf</t>
    </r>
    <r>
      <rPr>
        <sz val="11"/>
        <color theme="1"/>
        <rFont val="Calibri"/>
        <family val="2"/>
        <scheme val="minor"/>
      </rPr>
      <t xml:space="preserve">CinS1 wt and mutants, and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 xml:space="preserve">LimS wt and mutants. </t>
    </r>
  </si>
  <si>
    <r>
      <t xml:space="preserve">Uncropped version of the SDS-PAGE gel of 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 xml:space="preserve">NPPS1. </t>
    </r>
  </si>
  <si>
    <r>
      <t xml:space="preserve">Uncropped version of the SDS-PAGE gel of </t>
    </r>
    <r>
      <rPr>
        <i/>
        <sz val="11"/>
        <color theme="1"/>
        <rFont val="Calibri"/>
        <family val="2"/>
        <scheme val="minor"/>
      </rPr>
      <t>Se</t>
    </r>
    <r>
      <rPr>
        <sz val="11"/>
        <color theme="1"/>
        <rFont val="Calibri"/>
        <family val="2"/>
        <scheme val="minor"/>
      </rPr>
      <t xml:space="preserve">CamS. </t>
    </r>
  </si>
  <si>
    <r>
      <t xml:space="preserve">Enzymatic reactions using the yeast extract of AM94 + </t>
    </r>
    <r>
      <rPr>
        <b/>
        <i/>
        <sz val="11"/>
        <color theme="1"/>
        <rFont val="Calibri"/>
        <family val="2"/>
        <scheme val="minor"/>
      </rPr>
      <t>Cl</t>
    </r>
    <r>
      <rPr>
        <b/>
        <sz val="11"/>
        <color theme="1"/>
        <rFont val="Calibri"/>
        <family val="2"/>
        <scheme val="minor"/>
      </rPr>
      <t>LimSwt + Erg20p cells</t>
    </r>
  </si>
  <si>
    <r>
      <t xml:space="preserve">Enzymatic reactions using the yeast extract of AM94 + </t>
    </r>
    <r>
      <rPr>
        <b/>
        <i/>
        <sz val="11"/>
        <color theme="1"/>
        <rFont val="Calibri"/>
        <family val="2"/>
        <scheme val="minor"/>
      </rPr>
      <t>Cl</t>
    </r>
    <r>
      <rPr>
        <b/>
        <sz val="11"/>
        <color theme="1"/>
        <rFont val="Calibri"/>
        <family val="2"/>
        <scheme val="minor"/>
      </rPr>
      <t>LimS(H570Y) + Erg20p cells</t>
    </r>
  </si>
  <si>
    <t>Figure 3d</t>
  </si>
  <si>
    <t>Figure 3c</t>
  </si>
  <si>
    <t>Figure 3b</t>
  </si>
  <si>
    <t>Figure 3a</t>
  </si>
  <si>
    <t>Figure 3e</t>
  </si>
  <si>
    <t xml:space="preserve">Figure 4a </t>
  </si>
  <si>
    <t>MW limonene = 136.238 g/mol</t>
  </si>
  <si>
    <t>MW geraniol = 154.25 g/mol</t>
  </si>
  <si>
    <t>MW farnesol = 222.37 g/mol</t>
  </si>
  <si>
    <t>The marked region was cropped and used in Supplementary Figure 4b left.</t>
  </si>
  <si>
    <t>The marked region was cropped and used in Supplementary Figure 4a.</t>
  </si>
  <si>
    <r>
      <t xml:space="preserve">Supplementary Figure 4a. SDS-PAGE of the recombinant proteins purified from </t>
    </r>
    <r>
      <rPr>
        <b/>
        <i/>
        <sz val="11"/>
        <color theme="1"/>
        <rFont val="Times New Roman"/>
        <family val="1"/>
      </rPr>
      <t>E. coli</t>
    </r>
    <r>
      <rPr>
        <b/>
        <sz val="11"/>
        <color theme="1"/>
        <rFont val="Times New Roman"/>
        <family val="1"/>
      </rPr>
      <t xml:space="preserve"> and used in the </t>
    </r>
    <r>
      <rPr>
        <b/>
        <i/>
        <sz val="11"/>
        <color theme="1"/>
        <rFont val="Times New Roman"/>
        <family val="1"/>
      </rPr>
      <t>in vitro</t>
    </r>
    <r>
      <rPr>
        <b/>
        <sz val="11"/>
        <color theme="1"/>
        <rFont val="Times New Roman"/>
        <family val="1"/>
      </rPr>
      <t xml:space="preserve"> assays.</t>
    </r>
    <r>
      <rPr>
        <sz val="11"/>
        <color theme="1"/>
        <rFont val="Times New Roman"/>
        <family val="1"/>
      </rPr>
      <t xml:space="preserve"> </t>
    </r>
  </si>
  <si>
    <r>
      <t xml:space="preserve">Supplementary Figure 4b. SDS-PAGE of the recombinant proteins purified from </t>
    </r>
    <r>
      <rPr>
        <b/>
        <i/>
        <sz val="11"/>
        <color theme="1"/>
        <rFont val="Times New Roman"/>
        <family val="1"/>
      </rPr>
      <t>E. coli</t>
    </r>
    <r>
      <rPr>
        <b/>
        <sz val="11"/>
        <color theme="1"/>
        <rFont val="Times New Roman"/>
        <family val="1"/>
      </rPr>
      <t xml:space="preserve"> and used in the </t>
    </r>
    <r>
      <rPr>
        <b/>
        <i/>
        <sz val="11"/>
        <color theme="1"/>
        <rFont val="Times New Roman"/>
        <family val="1"/>
      </rPr>
      <t>in vitro</t>
    </r>
    <r>
      <rPr>
        <b/>
        <sz val="11"/>
        <color theme="1"/>
        <rFont val="Times New Roman"/>
        <family val="1"/>
      </rPr>
      <t xml:space="preserve"> assays.</t>
    </r>
    <r>
      <rPr>
        <sz val="11"/>
        <color theme="1"/>
        <rFont val="Times New Roman"/>
        <family val="1"/>
      </rPr>
      <t xml:space="preserve"> </t>
    </r>
  </si>
  <si>
    <t>The marked region was cropped and used in Supplementary Figure 4b right.</t>
  </si>
  <si>
    <r>
      <t>MIC2 +</t>
    </r>
    <r>
      <rPr>
        <i/>
        <sz val="11"/>
        <color theme="1"/>
        <rFont val="Calibri"/>
        <family val="2"/>
        <scheme val="minor"/>
      </rPr>
      <t xml:space="preserve"> Cl</t>
    </r>
    <r>
      <rPr>
        <sz val="11"/>
        <color theme="1"/>
        <rFont val="Calibri"/>
        <family val="2"/>
        <scheme val="minor"/>
      </rPr>
      <t>LimS wt</t>
    </r>
  </si>
  <si>
    <r>
      <t xml:space="preserve">MIC3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>LimS wt</t>
    </r>
  </si>
  <si>
    <r>
      <t xml:space="preserve">MIC2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>LimS(H570Y)</t>
    </r>
  </si>
  <si>
    <r>
      <t xml:space="preserve">MIC3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>LimS(H570Y)</t>
    </r>
  </si>
  <si>
    <r>
      <t xml:space="preserve">MIC2 + </t>
    </r>
    <r>
      <rPr>
        <i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>SabS wt</t>
    </r>
  </si>
  <si>
    <r>
      <t>MIC2 +</t>
    </r>
    <r>
      <rPr>
        <i/>
        <sz val="11"/>
        <color theme="1"/>
        <rFont val="Calibri"/>
        <family val="2"/>
        <scheme val="minor"/>
      </rPr>
      <t xml:space="preserve"> Sp</t>
    </r>
    <r>
      <rPr>
        <sz val="11"/>
        <color theme="1"/>
        <rFont val="Calibri"/>
        <family val="2"/>
        <scheme val="minor"/>
      </rPr>
      <t>SabS(H561F)</t>
    </r>
  </si>
  <si>
    <r>
      <t xml:space="preserve">MIC3 + </t>
    </r>
    <r>
      <rPr>
        <i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>SabS wt</t>
    </r>
  </si>
  <si>
    <r>
      <t xml:space="preserve">MIC3 +  </t>
    </r>
    <r>
      <rPr>
        <i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>SabS(H561F)</t>
    </r>
  </si>
  <si>
    <t>Yeast strain and terpene synthase variant used</t>
  </si>
  <si>
    <r>
      <t xml:space="preserve">MIC2 + 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>NPPS1 + Erg20(N127W)</t>
    </r>
  </si>
  <si>
    <r>
      <t xml:space="preserve">AM94 + 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>NPPS1 + Erg20(N127W)</t>
    </r>
  </si>
  <si>
    <r>
      <t xml:space="preserve">MIC2 + 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>NPPS1-Erg20(N127W)</t>
    </r>
  </si>
  <si>
    <r>
      <t xml:space="preserve">AM94 + 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>NPPS1</t>
    </r>
  </si>
  <si>
    <r>
      <t>Erg20p(N127W)-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 xml:space="preserve">NPPS1 + </t>
    </r>
    <r>
      <rPr>
        <i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>SabS(H561F)</t>
    </r>
  </si>
  <si>
    <r>
      <t>Erg20p(N127W)-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 xml:space="preserve">NPPS1 + </t>
    </r>
    <r>
      <rPr>
        <i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>SabS wt</t>
    </r>
  </si>
  <si>
    <r>
      <t>Erg20p(N127W)-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 xml:space="preserve">NPPS1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>LimS(H570F)</t>
    </r>
  </si>
  <si>
    <r>
      <t>Erg20p(N127W)-</t>
    </r>
    <r>
      <rPr>
        <i/>
        <sz val="11"/>
        <color theme="1"/>
        <rFont val="Calibri"/>
        <family val="2"/>
        <scheme val="minor"/>
      </rPr>
      <t>Sl</t>
    </r>
    <r>
      <rPr>
        <sz val="11"/>
        <color theme="1"/>
        <rFont val="Calibri"/>
        <family val="2"/>
        <scheme val="minor"/>
      </rPr>
      <t xml:space="preserve">NPPS1 + </t>
    </r>
    <r>
      <rPr>
        <i/>
        <sz val="11"/>
        <color theme="1"/>
        <rFont val="Calibri"/>
        <family val="2"/>
        <scheme val="minor"/>
      </rPr>
      <t>Cl</t>
    </r>
    <r>
      <rPr>
        <sz val="11"/>
        <color theme="1"/>
        <rFont val="Calibri"/>
        <family val="2"/>
        <scheme val="minor"/>
      </rPr>
      <t xml:space="preserve">LimS wt </t>
    </r>
  </si>
  <si>
    <t>Figure 2c</t>
  </si>
  <si>
    <t>Figure 2d</t>
  </si>
  <si>
    <t>Supplementary Figure 3a</t>
  </si>
  <si>
    <t>Supplementary Figure 3b</t>
  </si>
  <si>
    <t>Supplementary Figure 8a. In vitro monoterpene profile of analyzed monoterpene synthases</t>
  </si>
  <si>
    <t>Supplementary Figure 8b. In vivo monoterpene profile of analyzed monoterpene synthases</t>
  </si>
  <si>
    <t>Supplementary Figure 10a</t>
  </si>
  <si>
    <t>Supplementary Figure 10b</t>
  </si>
  <si>
    <t>Supplementary Figure 12a</t>
  </si>
  <si>
    <t>Supplementary Fig. 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</si>
</sst>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0.0000"/>
    <numFmt numFmtId="167" formatCode="0.0000000000"/>
    <numFmt numFmtId="168" formatCode="0.000000000"/>
    <numFmt numFmtId="169" formatCode="0.00000000"/>
    <numFmt numFmtId="170" formatCode="0.00000"/>
    <numFmt numFmtId="171" formatCode="0.0"/>
    <numFmt numFmtId="172" formatCode="0.0%"/>
    <numFmt numFmtId="173" formatCode="0.000000"/>
    <numFmt numFmtId="174" formatCode="0.00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3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rgb="FF000000"/>
      <name val="Microsoft New Tai Lue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3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165" fontId="4" fillId="0" borderId="0" xfId="0" applyNumberFormat="1" applyFont="1"/>
    <xf numFmtId="49" fontId="0" fillId="0" borderId="0" xfId="0" applyNumberFormat="1" applyAlignment="1">
      <alignment horizontal="right"/>
    </xf>
    <xf numFmtId="0" fontId="3" fillId="0" borderId="0" xfId="0" applyFont="1"/>
    <xf numFmtId="2" fontId="0" fillId="0" borderId="0" xfId="0" applyNumberFormat="1"/>
    <xf numFmtId="2" fontId="4" fillId="0" borderId="0" xfId="0" applyNumberFormat="1" applyFont="1"/>
    <xf numFmtId="0" fontId="6" fillId="0" borderId="0" xfId="0" applyFont="1"/>
    <xf numFmtId="0" fontId="4" fillId="0" borderId="0" xfId="0" applyFont="1" applyAlignment="1">
      <alignment vertical="center"/>
    </xf>
    <xf numFmtId="166" fontId="0" fillId="0" borderId="0" xfId="0" applyNumberFormat="1"/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167" fontId="4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8" fontId="0" fillId="0" borderId="0" xfId="0" applyNumberFormat="1"/>
    <xf numFmtId="1" fontId="0" fillId="0" borderId="0" xfId="0" applyNumberFormat="1"/>
    <xf numFmtId="166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0" fillId="0" borderId="0" xfId="0" applyNumberFormat="1" applyAlignment="1">
      <alignment horizontal="left"/>
    </xf>
    <xf numFmtId="171" fontId="0" fillId="0" borderId="0" xfId="0" applyNumberFormat="1" applyAlignment="1">
      <alignment horizontal="right"/>
    </xf>
    <xf numFmtId="171" fontId="0" fillId="0" borderId="0" xfId="0" applyNumberFormat="1"/>
    <xf numFmtId="0" fontId="0" fillId="0" borderId="0" xfId="0" applyAlignment="1">
      <alignment horizontal="left"/>
    </xf>
    <xf numFmtId="9" fontId="0" fillId="0" borderId="0" xfId="2" applyFont="1"/>
    <xf numFmtId="9" fontId="0" fillId="0" borderId="0" xfId="2" applyFont="1" applyAlignment="1">
      <alignment horizontal="center"/>
    </xf>
    <xf numFmtId="172" fontId="0" fillId="0" borderId="0" xfId="2" applyNumberFormat="1" applyFont="1"/>
    <xf numFmtId="0" fontId="0" fillId="0" borderId="1" xfId="0" applyBorder="1"/>
    <xf numFmtId="0" fontId="0" fillId="0" borderId="2" xfId="0" applyBorder="1"/>
    <xf numFmtId="0" fontId="4" fillId="0" borderId="2" xfId="0" applyFont="1" applyBorder="1"/>
    <xf numFmtId="2" fontId="4" fillId="0" borderId="0" xfId="0" applyNumberFormat="1" applyFont="1" applyAlignment="1">
      <alignment vertical="center"/>
    </xf>
    <xf numFmtId="43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14" fillId="2" borderId="0" xfId="3" applyFont="1" applyAlignment="1">
      <alignment horizontal="right"/>
    </xf>
    <xf numFmtId="2" fontId="0" fillId="0" borderId="0" xfId="0" applyNumberFormat="1" applyAlignment="1">
      <alignment horizontal="right"/>
    </xf>
    <xf numFmtId="2" fontId="2" fillId="2" borderId="0" xfId="3" applyNumberFormat="1"/>
    <xf numFmtId="2" fontId="0" fillId="0" borderId="0" xfId="0" applyNumberFormat="1" applyAlignment="1">
      <alignment horizontal="right" vertical="center"/>
    </xf>
    <xf numFmtId="0" fontId="2" fillId="2" borderId="0" xfId="3"/>
    <xf numFmtId="2" fontId="2" fillId="0" borderId="0" xfId="3" applyNumberFormat="1" applyFill="1"/>
    <xf numFmtId="2" fontId="14" fillId="2" borderId="0" xfId="3" applyNumberFormat="1" applyFont="1" applyAlignment="1">
      <alignment horizontal="right"/>
    </xf>
    <xf numFmtId="0" fontId="14" fillId="2" borderId="0" xfId="3" applyFont="1"/>
    <xf numFmtId="9" fontId="0" fillId="0" borderId="3" xfId="2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15" fillId="0" borderId="0" xfId="0" applyFont="1"/>
    <xf numFmtId="0" fontId="16" fillId="0" borderId="0" xfId="0" applyFont="1"/>
    <xf numFmtId="9" fontId="0" fillId="0" borderId="5" xfId="2" applyFont="1" applyBorder="1"/>
    <xf numFmtId="9" fontId="0" fillId="0" borderId="6" xfId="2" applyFont="1" applyBorder="1" applyAlignment="1">
      <alignment horizontal="center"/>
    </xf>
    <xf numFmtId="0" fontId="18" fillId="0" borderId="0" xfId="0" applyFont="1"/>
    <xf numFmtId="0" fontId="20" fillId="0" borderId="0" xfId="0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left" vertical="top" wrapText="1" indent="1"/>
    </xf>
    <xf numFmtId="0" fontId="4" fillId="0" borderId="0" xfId="0" applyFont="1" applyAlignment="1">
      <alignment horizontal="left" wrapText="1" indent="1"/>
    </xf>
    <xf numFmtId="0" fontId="0" fillId="0" borderId="9" xfId="0" applyBorder="1" applyAlignment="1">
      <alignment horizontal="left" vertical="top" wrapText="1" indent="1"/>
    </xf>
    <xf numFmtId="0" fontId="0" fillId="0" borderId="8" xfId="0" applyBorder="1" applyAlignment="1">
      <alignment horizontal="left" vertical="top" wrapText="1" indent="1"/>
    </xf>
    <xf numFmtId="0" fontId="0" fillId="0" borderId="8" xfId="0" applyBorder="1"/>
    <xf numFmtId="2" fontId="0" fillId="0" borderId="9" xfId="0" applyNumberFormat="1" applyBorder="1"/>
    <xf numFmtId="2" fontId="0" fillId="0" borderId="8" xfId="0" applyNumberFormat="1" applyBorder="1"/>
    <xf numFmtId="165" fontId="0" fillId="0" borderId="8" xfId="0" applyNumberFormat="1" applyBorder="1"/>
    <xf numFmtId="2" fontId="0" fillId="0" borderId="0" xfId="0" quotePrefix="1" applyNumberFormat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8" xfId="0" applyBorder="1" applyAlignment="1">
      <alignment horizontal="center"/>
    </xf>
    <xf numFmtId="0" fontId="9" fillId="0" borderId="0" xfId="0" applyFont="1" applyAlignment="1">
      <alignment horizontal="center" vertical="top" wrapText="1"/>
    </xf>
    <xf numFmtId="173" fontId="0" fillId="0" borderId="0" xfId="0" applyNumberFormat="1"/>
    <xf numFmtId="0" fontId="22" fillId="0" borderId="0" xfId="0" applyFont="1" applyAlignment="1">
      <alignment vertical="center"/>
    </xf>
    <xf numFmtId="3" fontId="0" fillId="0" borderId="0" xfId="0" applyNumberFormat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4" xfId="0" applyBorder="1"/>
    <xf numFmtId="0" fontId="0" fillId="0" borderId="12" xfId="0" applyBorder="1"/>
    <xf numFmtId="2" fontId="0" fillId="0" borderId="4" xfId="0" applyNumberFormat="1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171" fontId="0" fillId="0" borderId="16" xfId="0" applyNumberFormat="1" applyBorder="1"/>
    <xf numFmtId="171" fontId="0" fillId="0" borderId="15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0" borderId="19" xfId="0" applyBorder="1"/>
    <xf numFmtId="171" fontId="0" fillId="0" borderId="20" xfId="0" applyNumberFormat="1" applyBorder="1"/>
    <xf numFmtId="171" fontId="0" fillId="0" borderId="19" xfId="0" applyNumberFormat="1" applyBorder="1"/>
    <xf numFmtId="2" fontId="0" fillId="0" borderId="21" xfId="0" applyNumberFormat="1" applyBorder="1"/>
    <xf numFmtId="0" fontId="0" fillId="0" borderId="22" xfId="0" applyBorder="1"/>
    <xf numFmtId="0" fontId="0" fillId="0" borderId="23" xfId="0" applyBorder="1"/>
    <xf numFmtId="171" fontId="0" fillId="0" borderId="7" xfId="0" applyNumberFormat="1" applyBorder="1"/>
    <xf numFmtId="171" fontId="0" fillId="0" borderId="23" xfId="0" applyNumberFormat="1" applyBorder="1"/>
    <xf numFmtId="2" fontId="0" fillId="0" borderId="24" xfId="0" applyNumberFormat="1" applyBorder="1"/>
    <xf numFmtId="0" fontId="0" fillId="0" borderId="25" xfId="0" applyBorder="1"/>
    <xf numFmtId="0" fontId="0" fillId="0" borderId="26" xfId="0" applyBorder="1"/>
    <xf numFmtId="171" fontId="0" fillId="0" borderId="27" xfId="0" applyNumberFormat="1" applyBorder="1"/>
    <xf numFmtId="171" fontId="0" fillId="0" borderId="26" xfId="0" applyNumberFormat="1" applyBorder="1"/>
    <xf numFmtId="1" fontId="0" fillId="0" borderId="0" xfId="1" applyNumberFormat="1" applyFont="1"/>
    <xf numFmtId="0" fontId="0" fillId="0" borderId="5" xfId="0" applyBorder="1" applyAlignment="1">
      <alignment horizontal="right"/>
    </xf>
    <xf numFmtId="2" fontId="0" fillId="0" borderId="28" xfId="0" applyNumberFormat="1" applyBorder="1"/>
    <xf numFmtId="171" fontId="0" fillId="0" borderId="27" xfId="0" applyNumberFormat="1" applyBorder="1" applyAlignment="1">
      <alignment horizontal="center"/>
    </xf>
    <xf numFmtId="171" fontId="0" fillId="0" borderId="26" xfId="0" applyNumberFormat="1" applyBorder="1" applyAlignment="1">
      <alignment horizontal="center"/>
    </xf>
    <xf numFmtId="2" fontId="0" fillId="0" borderId="29" xfId="0" applyNumberFormat="1" applyBorder="1"/>
    <xf numFmtId="171" fontId="0" fillId="0" borderId="7" xfId="0" applyNumberFormat="1" applyBorder="1" applyAlignment="1">
      <alignment horizontal="center"/>
    </xf>
    <xf numFmtId="171" fontId="0" fillId="0" borderId="23" xfId="0" applyNumberFormat="1" applyBorder="1" applyAlignment="1">
      <alignment horizontal="center"/>
    </xf>
    <xf numFmtId="171" fontId="0" fillId="0" borderId="16" xfId="0" applyNumberFormat="1" applyBorder="1" applyAlignment="1">
      <alignment horizontal="center"/>
    </xf>
    <xf numFmtId="171" fontId="0" fillId="0" borderId="15" xfId="0" applyNumberFormat="1" applyBorder="1" applyAlignment="1">
      <alignment horizontal="center"/>
    </xf>
    <xf numFmtId="2" fontId="0" fillId="0" borderId="30" xfId="0" applyNumberFormat="1" applyBorder="1"/>
    <xf numFmtId="171" fontId="0" fillId="0" borderId="3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25" xfId="0" applyNumberFormat="1" applyBorder="1"/>
    <xf numFmtId="2" fontId="0" fillId="0" borderId="27" xfId="0" applyNumberFormat="1" applyBorder="1"/>
    <xf numFmtId="2" fontId="0" fillId="0" borderId="32" xfId="0" applyNumberFormat="1" applyBorder="1"/>
    <xf numFmtId="1" fontId="0" fillId="0" borderId="33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" fontId="0" fillId="0" borderId="22" xfId="0" applyNumberFormat="1" applyBorder="1"/>
    <xf numFmtId="2" fontId="0" fillId="0" borderId="7" xfId="0" applyNumberFormat="1" applyBorder="1"/>
    <xf numFmtId="2" fontId="0" fillId="0" borderId="35" xfId="0" applyNumberFormat="1" applyBorder="1"/>
    <xf numFmtId="1" fontId="0" fillId="0" borderId="36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2" fontId="0" fillId="0" borderId="38" xfId="0" applyNumberFormat="1" applyBorder="1"/>
    <xf numFmtId="0" fontId="0" fillId="0" borderId="32" xfId="0" applyBorder="1"/>
    <xf numFmtId="0" fontId="0" fillId="0" borderId="39" xfId="0" applyBorder="1"/>
    <xf numFmtId="172" fontId="0" fillId="0" borderId="40" xfId="2" applyNumberFormat="1" applyFont="1" applyBorder="1"/>
    <xf numFmtId="2" fontId="0" fillId="0" borderId="41" xfId="0" applyNumberFormat="1" applyBorder="1"/>
    <xf numFmtId="0" fontId="0" fillId="0" borderId="35" xfId="0" applyBorder="1"/>
    <xf numFmtId="172" fontId="0" fillId="0" borderId="42" xfId="2" applyNumberFormat="1" applyFont="1" applyBorder="1"/>
    <xf numFmtId="0" fontId="0" fillId="0" borderId="43" xfId="0" applyBorder="1"/>
    <xf numFmtId="172" fontId="0" fillId="0" borderId="42" xfId="0" applyNumberFormat="1" applyBorder="1"/>
    <xf numFmtId="9" fontId="0" fillId="0" borderId="42" xfId="2" applyFont="1" applyBorder="1"/>
    <xf numFmtId="0" fontId="24" fillId="0" borderId="27" xfId="0" applyFont="1" applyBorder="1"/>
    <xf numFmtId="0" fontId="25" fillId="0" borderId="32" xfId="0" applyFont="1" applyBorder="1"/>
    <xf numFmtId="0" fontId="25" fillId="0" borderId="26" xfId="0" applyFont="1" applyBorder="1"/>
    <xf numFmtId="0" fontId="25" fillId="0" borderId="7" xfId="0" applyFont="1" applyBorder="1"/>
    <xf numFmtId="172" fontId="24" fillId="0" borderId="35" xfId="2" applyNumberFormat="1" applyFont="1" applyBorder="1" applyAlignment="1">
      <alignment horizontal="center"/>
    </xf>
    <xf numFmtId="172" fontId="24" fillId="0" borderId="23" xfId="2" applyNumberFormat="1" applyFont="1" applyBorder="1" applyAlignment="1">
      <alignment horizontal="center"/>
    </xf>
    <xf numFmtId="10" fontId="0" fillId="0" borderId="0" xfId="2" applyNumberFormat="1" applyFont="1"/>
    <xf numFmtId="2" fontId="0" fillId="0" borderId="44" xfId="0" applyNumberFormat="1" applyBorder="1"/>
    <xf numFmtId="0" fontId="0" fillId="0" borderId="30" xfId="0" applyBorder="1"/>
    <xf numFmtId="2" fontId="0" fillId="0" borderId="45" xfId="0" applyNumberFormat="1" applyBorder="1"/>
    <xf numFmtId="0" fontId="0" fillId="0" borderId="29" xfId="0" applyBorder="1"/>
    <xf numFmtId="0" fontId="0" fillId="0" borderId="27" xfId="0" applyBorder="1"/>
    <xf numFmtId="0" fontId="0" fillId="0" borderId="26" xfId="0" applyBorder="1" applyAlignment="1">
      <alignment horizontal="center"/>
    </xf>
    <xf numFmtId="0" fontId="0" fillId="0" borderId="7" xfId="0" applyBorder="1"/>
    <xf numFmtId="172" fontId="0" fillId="0" borderId="35" xfId="2" applyNumberFormat="1" applyFont="1" applyBorder="1" applyAlignment="1">
      <alignment horizontal="center"/>
    </xf>
    <xf numFmtId="172" fontId="0" fillId="0" borderId="23" xfId="2" applyNumberFormat="1" applyFont="1" applyBorder="1" applyAlignment="1">
      <alignment horizontal="center"/>
    </xf>
    <xf numFmtId="174" fontId="0" fillId="0" borderId="0" xfId="2" applyNumberFormat="1" applyFont="1"/>
    <xf numFmtId="171" fontId="0" fillId="0" borderId="1" xfId="0" applyNumberFormat="1" applyBorder="1"/>
    <xf numFmtId="17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1" fontId="0" fillId="0" borderId="1" xfId="0" applyNumberFormat="1" applyBorder="1"/>
    <xf numFmtId="3" fontId="0" fillId="0" borderId="1" xfId="0" applyNumberFormat="1" applyBorder="1"/>
    <xf numFmtId="0" fontId="22" fillId="0" borderId="0" xfId="0" applyFont="1"/>
    <xf numFmtId="0" fontId="26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/>
    <xf numFmtId="171" fontId="0" fillId="0" borderId="0" xfId="0" applyNumberFormat="1" applyBorder="1" applyAlignment="1">
      <alignment horizontal="right"/>
    </xf>
    <xf numFmtId="165" fontId="4" fillId="0" borderId="0" xfId="0" applyNumberFormat="1" applyFont="1" applyBorder="1"/>
    <xf numFmtId="0" fontId="0" fillId="0" borderId="0" xfId="0" applyBorder="1"/>
    <xf numFmtId="2" fontId="4" fillId="0" borderId="0" xfId="0" applyNumberFormat="1" applyFont="1" applyBorder="1" applyAlignment="1">
      <alignment vertical="center"/>
    </xf>
    <xf numFmtId="0" fontId="0" fillId="0" borderId="0" xfId="0" applyBorder="1" applyAlignment="1">
      <alignment horizontal="right"/>
    </xf>
    <xf numFmtId="2" fontId="0" fillId="0" borderId="0" xfId="0" applyNumberFormat="1" applyBorder="1"/>
    <xf numFmtId="2" fontId="4" fillId="0" borderId="0" xfId="0" applyNumberFormat="1" applyFont="1" applyBorder="1"/>
    <xf numFmtId="0" fontId="26" fillId="0" borderId="0" xfId="0" applyFont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2" applyFont="1" applyBorder="1"/>
    <xf numFmtId="9" fontId="0" fillId="0" borderId="0" xfId="2" applyFont="1" applyBorder="1" applyAlignment="1">
      <alignment horizontal="center"/>
    </xf>
    <xf numFmtId="172" fontId="0" fillId="0" borderId="0" xfId="2" applyNumberFormat="1" applyFont="1" applyBorder="1"/>
    <xf numFmtId="171" fontId="0" fillId="0" borderId="0" xfId="0" applyNumberFormat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8" xfId="0" applyFont="1" applyBorder="1"/>
    <xf numFmtId="0" fontId="0" fillId="0" borderId="0" xfId="0" applyFont="1"/>
    <xf numFmtId="2" fontId="0" fillId="0" borderId="0" xfId="0" applyNumberFormat="1" applyFont="1" applyAlignment="1">
      <alignment horizontal="left"/>
    </xf>
    <xf numFmtId="2" fontId="0" fillId="0" borderId="0" xfId="0" applyNumberFormat="1" applyFont="1"/>
    <xf numFmtId="0" fontId="22" fillId="0" borderId="0" xfId="0" applyFont="1" applyAlignment="1">
      <alignment horizontal="right" wrapText="1"/>
    </xf>
    <xf numFmtId="0" fontId="0" fillId="0" borderId="0" xfId="0" applyFont="1" applyAlignment="1">
      <alignment horizontal="center"/>
    </xf>
    <xf numFmtId="0" fontId="0" fillId="0" borderId="9" xfId="0" quotePrefix="1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165" fontId="0" fillId="0" borderId="0" xfId="0" applyNumberFormat="1" applyFont="1"/>
    <xf numFmtId="2" fontId="0" fillId="0" borderId="8" xfId="0" applyNumberFormat="1" applyFont="1" applyBorder="1"/>
    <xf numFmtId="0" fontId="0" fillId="0" borderId="8" xfId="0" applyFont="1" applyBorder="1"/>
    <xf numFmtId="165" fontId="0" fillId="0" borderId="8" xfId="0" applyNumberFormat="1" applyFont="1" applyBorder="1"/>
    <xf numFmtId="0" fontId="4" fillId="0" borderId="0" xfId="0" applyFont="1" applyAlignment="1">
      <alignment horizontal="center" wrapText="1"/>
    </xf>
    <xf numFmtId="0" fontId="28" fillId="0" borderId="0" xfId="0" applyFont="1" applyAlignment="1">
      <alignment horizontal="left" vertical="top" wrapText="1" indent="1"/>
    </xf>
    <xf numFmtId="0" fontId="28" fillId="0" borderId="8" xfId="0" applyFont="1" applyBorder="1" applyAlignment="1">
      <alignment horizontal="left" vertical="top" wrapText="1" indent="1"/>
    </xf>
    <xf numFmtId="2" fontId="0" fillId="0" borderId="9" xfId="0" applyNumberFormat="1" applyFont="1" applyBorder="1"/>
    <xf numFmtId="0" fontId="0" fillId="0" borderId="9" xfId="0" applyFont="1" applyBorder="1" applyAlignment="1">
      <alignment horizontal="left" vertical="top" wrapText="1" indent="1"/>
    </xf>
    <xf numFmtId="0" fontId="0" fillId="0" borderId="0" xfId="0" applyFont="1" applyAlignment="1">
      <alignment horizontal="left" vertical="top" wrapText="1" inden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2" fontId="4" fillId="0" borderId="0" xfId="0" applyNumberFormat="1" applyFont="1" applyAlignment="1">
      <alignment horizontal="center"/>
    </xf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tiff"/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142875</xdr:rowOff>
    </xdr:from>
    <xdr:to>
      <xdr:col>12</xdr:col>
      <xdr:colOff>141287</xdr:colOff>
      <xdr:row>35</xdr:row>
      <xdr:rowOff>171450</xdr:rowOff>
    </xdr:to>
    <xdr:grpSp>
      <xdr:nvGrpSpPr>
        <xdr:cNvPr id="16" name="Group 15">
          <a:extLst>
            <a:ext uri="{FF2B5EF4-FFF2-40B4-BE49-F238E27FC236}">
              <a16:creationId xmlns="" xmlns:a16="http://schemas.microsoft.com/office/drawing/2014/main" id="{00000000-0008-0000-1A00-000010000000}"/>
            </a:ext>
          </a:extLst>
        </xdr:cNvPr>
        <xdr:cNvGrpSpPr/>
      </xdr:nvGrpSpPr>
      <xdr:grpSpPr>
        <a:xfrm>
          <a:off x="76200" y="1628775"/>
          <a:ext cx="7380287" cy="4966335"/>
          <a:chOff x="881063" y="842963"/>
          <a:chExt cx="7380287" cy="5172075"/>
        </a:xfrm>
      </xdr:grpSpPr>
      <xdr:pic>
        <xdr:nvPicPr>
          <xdr:cNvPr id="17" name="Picture 16">
            <a:extLst>
              <a:ext uri="{FF2B5EF4-FFF2-40B4-BE49-F238E27FC236}">
                <a16:creationId xmlns="" xmlns:a16="http://schemas.microsoft.com/office/drawing/2014/main" id="{00000000-0008-0000-1A00-00001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1063" y="842963"/>
            <a:ext cx="7380287" cy="51720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" name="Rectangle 17">
            <a:extLst>
              <a:ext uri="{FF2B5EF4-FFF2-40B4-BE49-F238E27FC236}">
                <a16:creationId xmlns="" xmlns:a16="http://schemas.microsoft.com/office/drawing/2014/main" id="{00000000-0008-0000-1A00-000012000000}"/>
              </a:ext>
            </a:extLst>
          </xdr:cNvPr>
          <xdr:cNvSpPr/>
        </xdr:nvSpPr>
        <xdr:spPr>
          <a:xfrm>
            <a:off x="1109664" y="1874018"/>
            <a:ext cx="6506988" cy="3391318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56388</xdr:colOff>
      <xdr:row>29</xdr:row>
      <xdr:rowOff>140208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1B00-000002000000}"/>
            </a:ext>
          </a:extLst>
        </xdr:cNvPr>
        <xdr:cNvGrpSpPr/>
      </xdr:nvGrpSpPr>
      <xdr:grpSpPr>
        <a:xfrm>
          <a:off x="0" y="1470660"/>
          <a:ext cx="5542788" cy="3980688"/>
          <a:chOff x="400050" y="2314575"/>
          <a:chExt cx="5542788" cy="4140708"/>
        </a:xfrm>
      </xdr:grpSpPr>
      <xdr:pic>
        <xdr:nvPicPr>
          <xdr:cNvPr id="3" name="Picture 2" descr="2nd NDPS 6, NDPS 7, G1, G2, G9, G10 SONICATION, G1 G2 BEADS1.tif">
            <a:extLst>
              <a:ext uri="{FF2B5EF4-FFF2-40B4-BE49-F238E27FC236}">
                <a16:creationId xmlns="" xmlns:a16="http://schemas.microsoft.com/office/drawing/2014/main" id="{00000000-0008-0000-1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400050" y="2314575"/>
            <a:ext cx="5542788" cy="4140708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="" xmlns:a16="http://schemas.microsoft.com/office/drawing/2014/main" id="{00000000-0008-0000-1B00-000004000000}"/>
              </a:ext>
            </a:extLst>
          </xdr:cNvPr>
          <xdr:cNvSpPr/>
        </xdr:nvSpPr>
        <xdr:spPr>
          <a:xfrm>
            <a:off x="3662139" y="3374279"/>
            <a:ext cx="688748" cy="1502228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0</xdr:colOff>
      <xdr:row>35</xdr:row>
      <xdr:rowOff>0</xdr:rowOff>
    </xdr:from>
    <xdr:to>
      <xdr:col>8</xdr:col>
      <xdr:colOff>174625</xdr:colOff>
      <xdr:row>45</xdr:row>
      <xdr:rowOff>94948</xdr:rowOff>
    </xdr:to>
    <xdr:grpSp>
      <xdr:nvGrpSpPr>
        <xdr:cNvPr id="8" name="Group 7">
          <a:extLst>
            <a:ext uri="{FF2B5EF4-FFF2-40B4-BE49-F238E27FC236}">
              <a16:creationId xmlns="" xmlns:a16="http://schemas.microsoft.com/office/drawing/2014/main" id="{00000000-0008-0000-1B00-000008000000}"/>
            </a:ext>
          </a:extLst>
        </xdr:cNvPr>
        <xdr:cNvGrpSpPr/>
      </xdr:nvGrpSpPr>
      <xdr:grpSpPr>
        <a:xfrm>
          <a:off x="609600" y="6408420"/>
          <a:ext cx="4441825" cy="1923748"/>
          <a:chOff x="152400" y="144765"/>
          <a:chExt cx="4441825" cy="1999948"/>
        </a:xfrm>
      </xdr:grpSpPr>
      <xdr:pic>
        <xdr:nvPicPr>
          <xdr:cNvPr id="9" name="Picture 8">
            <a:extLst>
              <a:ext uri="{FF2B5EF4-FFF2-40B4-BE49-F238E27FC236}">
                <a16:creationId xmlns="" xmlns:a16="http://schemas.microsoft.com/office/drawing/2014/main" id="{00000000-0008-0000-1B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2400" y="152400"/>
            <a:ext cx="4441825" cy="19923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sp macro="" textlink="">
        <xdr:nvSpPr>
          <xdr:cNvPr id="10" name="Rectangle 9">
            <a:extLst>
              <a:ext uri="{FF2B5EF4-FFF2-40B4-BE49-F238E27FC236}">
                <a16:creationId xmlns="" xmlns:a16="http://schemas.microsoft.com/office/drawing/2014/main" id="{00000000-0008-0000-1B00-00000A000000}"/>
              </a:ext>
            </a:extLst>
          </xdr:cNvPr>
          <xdr:cNvSpPr/>
        </xdr:nvSpPr>
        <xdr:spPr>
          <a:xfrm>
            <a:off x="1044159" y="144765"/>
            <a:ext cx="688748" cy="1759403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6</xdr:row>
      <xdr:rowOff>9525</xdr:rowOff>
    </xdr:from>
    <xdr:to>
      <xdr:col>11</xdr:col>
      <xdr:colOff>591111</xdr:colOff>
      <xdr:row>32</xdr:row>
      <xdr:rowOff>51163</xdr:rowOff>
    </xdr:to>
    <xdr:grpSp>
      <xdr:nvGrpSpPr>
        <xdr:cNvPr id="10" name="Group 9">
          <a:extLst>
            <a:ext uri="{FF2B5EF4-FFF2-40B4-BE49-F238E27FC236}">
              <a16:creationId xmlns="" xmlns:a16="http://schemas.microsoft.com/office/drawing/2014/main" id="{00000000-0008-0000-1D00-00000A000000}"/>
            </a:ext>
          </a:extLst>
        </xdr:cNvPr>
        <xdr:cNvGrpSpPr/>
      </xdr:nvGrpSpPr>
      <xdr:grpSpPr>
        <a:xfrm>
          <a:off x="600075" y="1114425"/>
          <a:ext cx="6696636" cy="4796518"/>
          <a:chOff x="352425" y="495300"/>
          <a:chExt cx="6696636" cy="4994638"/>
        </a:xfrm>
      </xdr:grpSpPr>
      <xdr:pic>
        <xdr:nvPicPr>
          <xdr:cNvPr id="11" name="Picture 10" descr="20180513 final 2">
            <a:extLst>
              <a:ext uri="{FF2B5EF4-FFF2-40B4-BE49-F238E27FC236}">
                <a16:creationId xmlns="" xmlns:a16="http://schemas.microsoft.com/office/drawing/2014/main" id="{00000000-0008-0000-1D00-00000B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2184" t="-11242" r="-12874" b="-13580"/>
          <a:stretch/>
        </xdr:blipFill>
        <xdr:spPr bwMode="auto">
          <a:xfrm>
            <a:off x="352425" y="495300"/>
            <a:ext cx="6696636" cy="49946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" name="Rectangle 11">
            <a:extLst>
              <a:ext uri="{FF2B5EF4-FFF2-40B4-BE49-F238E27FC236}">
                <a16:creationId xmlns="" xmlns:a16="http://schemas.microsoft.com/office/drawing/2014/main" id="{00000000-0008-0000-1D00-00000C000000}"/>
              </a:ext>
            </a:extLst>
          </xdr:cNvPr>
          <xdr:cNvSpPr/>
        </xdr:nvSpPr>
        <xdr:spPr>
          <a:xfrm>
            <a:off x="4729842" y="1830509"/>
            <a:ext cx="1536571" cy="2323364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425820</xdr:colOff>
      <xdr:row>13</xdr:row>
      <xdr:rowOff>67235</xdr:rowOff>
    </xdr:from>
    <xdr:to>
      <xdr:col>20</xdr:col>
      <xdr:colOff>341964</xdr:colOff>
      <xdr:row>41</xdr:row>
      <xdr:rowOff>133910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GrpSpPr/>
      </xdr:nvGrpSpPr>
      <xdr:grpSpPr>
        <a:xfrm>
          <a:off x="7245720" y="2528495"/>
          <a:ext cx="9464004" cy="5255895"/>
          <a:chOff x="6757144" y="1512792"/>
          <a:chExt cx="10741026" cy="5400675"/>
        </a:xfrm>
      </xdr:grpSpPr>
      <xdr:grpSp>
        <xdr:nvGrpSpPr>
          <xdr:cNvPr id="3" name="Group 6">
            <a:extLst>
              <a:ext uri="{FF2B5EF4-FFF2-40B4-BE49-F238E27FC236}">
                <a16:creationId xmlns="" xmlns:a16="http://schemas.microsoft.com/office/drawing/2014/main" id="{00000000-0008-0000-2200-000003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6757144" y="1512792"/>
            <a:ext cx="10741026" cy="5400675"/>
            <a:chOff x="-503" y="459"/>
            <a:chExt cx="6766" cy="3402"/>
          </a:xfrm>
        </xdr:grpSpPr>
        <xdr:sp macro="" textlink="">
          <xdr:nvSpPr>
            <xdr:cNvPr id="7" name="AutoShape 3">
              <a:extLst>
                <a:ext uri="{FF2B5EF4-FFF2-40B4-BE49-F238E27FC236}">
                  <a16:creationId xmlns="" xmlns:a16="http://schemas.microsoft.com/office/drawing/2014/main" id="{00000000-0008-0000-2200-000007000000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-503" y="459"/>
              <a:ext cx="6766" cy="34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="" xmlns:a16="http://schemas.microsoft.com/office/drawing/2014/main" id="{00000000-0008-0000-22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503" y="459"/>
              <a:ext cx="6764" cy="339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" name="Freeform 8">
              <a:extLst>
                <a:ext uri="{FF2B5EF4-FFF2-40B4-BE49-F238E27FC236}">
                  <a16:creationId xmlns="" xmlns:a16="http://schemas.microsoft.com/office/drawing/2014/main" id="{00000000-0008-0000-2200-000009000000}"/>
                </a:ext>
              </a:extLst>
            </xdr:cNvPr>
            <xdr:cNvSpPr>
              <a:spLocks/>
            </xdr:cNvSpPr>
          </xdr:nvSpPr>
          <xdr:spPr bwMode="auto">
            <a:xfrm>
              <a:off x="-208" y="672"/>
              <a:ext cx="6442" cy="1428"/>
            </a:xfrm>
            <a:custGeom>
              <a:avLst/>
              <a:gdLst>
                <a:gd name="T0" fmla="*/ 48 w 6442"/>
                <a:gd name="T1" fmla="*/ 1428 h 1428"/>
                <a:gd name="T2" fmla="*/ 90 w 6442"/>
                <a:gd name="T3" fmla="*/ 732 h 1428"/>
                <a:gd name="T4" fmla="*/ 173 w 6442"/>
                <a:gd name="T5" fmla="*/ 1410 h 1428"/>
                <a:gd name="T6" fmla="*/ 304 w 6442"/>
                <a:gd name="T7" fmla="*/ 1428 h 1428"/>
                <a:gd name="T8" fmla="*/ 597 w 6442"/>
                <a:gd name="T9" fmla="*/ 1278 h 1428"/>
                <a:gd name="T10" fmla="*/ 674 w 6442"/>
                <a:gd name="T11" fmla="*/ 1428 h 1428"/>
                <a:gd name="T12" fmla="*/ 698 w 6442"/>
                <a:gd name="T13" fmla="*/ 1428 h 1428"/>
                <a:gd name="T14" fmla="*/ 740 w 6442"/>
                <a:gd name="T15" fmla="*/ 1428 h 1428"/>
                <a:gd name="T16" fmla="*/ 853 w 6442"/>
                <a:gd name="T17" fmla="*/ 1422 h 1428"/>
                <a:gd name="T18" fmla="*/ 937 w 6442"/>
                <a:gd name="T19" fmla="*/ 1428 h 1428"/>
                <a:gd name="T20" fmla="*/ 1193 w 6442"/>
                <a:gd name="T21" fmla="*/ 1188 h 1428"/>
                <a:gd name="T22" fmla="*/ 1324 w 6442"/>
                <a:gd name="T23" fmla="*/ 1398 h 1428"/>
                <a:gd name="T24" fmla="*/ 1450 w 6442"/>
                <a:gd name="T25" fmla="*/ 1428 h 1428"/>
                <a:gd name="T26" fmla="*/ 1533 w 6442"/>
                <a:gd name="T27" fmla="*/ 1428 h 1428"/>
                <a:gd name="T28" fmla="*/ 1748 w 6442"/>
                <a:gd name="T29" fmla="*/ 1428 h 1428"/>
                <a:gd name="T30" fmla="*/ 1790 w 6442"/>
                <a:gd name="T31" fmla="*/ 1200 h 1428"/>
                <a:gd name="T32" fmla="*/ 1873 w 6442"/>
                <a:gd name="T33" fmla="*/ 1236 h 1428"/>
                <a:gd name="T34" fmla="*/ 1921 w 6442"/>
                <a:gd name="T35" fmla="*/ 1404 h 1428"/>
                <a:gd name="T36" fmla="*/ 1998 w 6442"/>
                <a:gd name="T37" fmla="*/ 1422 h 1428"/>
                <a:gd name="T38" fmla="*/ 2255 w 6442"/>
                <a:gd name="T39" fmla="*/ 1428 h 1428"/>
                <a:gd name="T40" fmla="*/ 2362 w 6442"/>
                <a:gd name="T41" fmla="*/ 1428 h 1428"/>
                <a:gd name="T42" fmla="*/ 2404 w 6442"/>
                <a:gd name="T43" fmla="*/ 1428 h 1428"/>
                <a:gd name="T44" fmla="*/ 2428 w 6442"/>
                <a:gd name="T45" fmla="*/ 1230 h 1428"/>
                <a:gd name="T46" fmla="*/ 2469 w 6442"/>
                <a:gd name="T47" fmla="*/ 0 h 1428"/>
                <a:gd name="T48" fmla="*/ 2505 w 6442"/>
                <a:gd name="T49" fmla="*/ 1428 h 1428"/>
                <a:gd name="T50" fmla="*/ 2553 w 6442"/>
                <a:gd name="T51" fmla="*/ 1386 h 1428"/>
                <a:gd name="T52" fmla="*/ 2601 w 6442"/>
                <a:gd name="T53" fmla="*/ 1422 h 1428"/>
                <a:gd name="T54" fmla="*/ 2678 w 6442"/>
                <a:gd name="T55" fmla="*/ 1428 h 1428"/>
                <a:gd name="T56" fmla="*/ 2941 w 6442"/>
                <a:gd name="T57" fmla="*/ 1416 h 1428"/>
                <a:gd name="T58" fmla="*/ 3024 w 6442"/>
                <a:gd name="T59" fmla="*/ 1416 h 1428"/>
                <a:gd name="T60" fmla="*/ 3108 w 6442"/>
                <a:gd name="T61" fmla="*/ 1374 h 1428"/>
                <a:gd name="T62" fmla="*/ 3191 w 6442"/>
                <a:gd name="T63" fmla="*/ 1404 h 1428"/>
                <a:gd name="T64" fmla="*/ 3316 w 6442"/>
                <a:gd name="T65" fmla="*/ 1428 h 1428"/>
                <a:gd name="T66" fmla="*/ 3531 w 6442"/>
                <a:gd name="T67" fmla="*/ 1422 h 1428"/>
                <a:gd name="T68" fmla="*/ 3656 w 6442"/>
                <a:gd name="T69" fmla="*/ 1428 h 1428"/>
                <a:gd name="T70" fmla="*/ 3704 w 6442"/>
                <a:gd name="T71" fmla="*/ 1110 h 1428"/>
                <a:gd name="T72" fmla="*/ 3788 w 6442"/>
                <a:gd name="T73" fmla="*/ 1266 h 1428"/>
                <a:gd name="T74" fmla="*/ 3847 w 6442"/>
                <a:gd name="T75" fmla="*/ 1428 h 1428"/>
                <a:gd name="T76" fmla="*/ 3913 w 6442"/>
                <a:gd name="T77" fmla="*/ 1428 h 1428"/>
                <a:gd name="T78" fmla="*/ 4044 w 6442"/>
                <a:gd name="T79" fmla="*/ 1428 h 1428"/>
                <a:gd name="T80" fmla="*/ 4175 w 6442"/>
                <a:gd name="T81" fmla="*/ 1380 h 1428"/>
                <a:gd name="T82" fmla="*/ 4277 w 6442"/>
                <a:gd name="T83" fmla="*/ 1428 h 1428"/>
                <a:gd name="T84" fmla="*/ 4384 w 6442"/>
                <a:gd name="T85" fmla="*/ 1404 h 1428"/>
                <a:gd name="T86" fmla="*/ 4509 w 6442"/>
                <a:gd name="T87" fmla="*/ 1428 h 1428"/>
                <a:gd name="T88" fmla="*/ 4736 w 6442"/>
                <a:gd name="T89" fmla="*/ 1428 h 1428"/>
                <a:gd name="T90" fmla="*/ 4796 w 6442"/>
                <a:gd name="T91" fmla="*/ 1428 h 1428"/>
                <a:gd name="T92" fmla="*/ 4843 w 6442"/>
                <a:gd name="T93" fmla="*/ 1428 h 1428"/>
                <a:gd name="T94" fmla="*/ 4861 w 6442"/>
                <a:gd name="T95" fmla="*/ 1428 h 1428"/>
                <a:gd name="T96" fmla="*/ 4891 w 6442"/>
                <a:gd name="T97" fmla="*/ 1428 h 1428"/>
                <a:gd name="T98" fmla="*/ 4933 w 6442"/>
                <a:gd name="T99" fmla="*/ 1428 h 1428"/>
                <a:gd name="T100" fmla="*/ 4974 w 6442"/>
                <a:gd name="T101" fmla="*/ 1428 h 1428"/>
                <a:gd name="T102" fmla="*/ 5064 w 6442"/>
                <a:gd name="T103" fmla="*/ 1416 h 1428"/>
                <a:gd name="T104" fmla="*/ 5237 w 6442"/>
                <a:gd name="T105" fmla="*/ 1428 h 1428"/>
                <a:gd name="T106" fmla="*/ 5362 w 6442"/>
                <a:gd name="T107" fmla="*/ 1380 h 1428"/>
                <a:gd name="T108" fmla="*/ 5452 w 6442"/>
                <a:gd name="T109" fmla="*/ 1380 h 1428"/>
                <a:gd name="T110" fmla="*/ 5577 w 6442"/>
                <a:gd name="T111" fmla="*/ 1428 h 1428"/>
                <a:gd name="T112" fmla="*/ 5833 w 6442"/>
                <a:gd name="T113" fmla="*/ 1428 h 1428"/>
                <a:gd name="T114" fmla="*/ 5911 w 6442"/>
                <a:gd name="T115" fmla="*/ 1428 h 1428"/>
                <a:gd name="T116" fmla="*/ 6000 w 6442"/>
                <a:gd name="T117" fmla="*/ 1416 h 1428"/>
                <a:gd name="T118" fmla="*/ 6090 w 6442"/>
                <a:gd name="T119" fmla="*/ 1386 h 1428"/>
                <a:gd name="T120" fmla="*/ 6167 w 6442"/>
                <a:gd name="T121" fmla="*/ 1422 h 1428"/>
                <a:gd name="T122" fmla="*/ 6293 w 6442"/>
                <a:gd name="T123" fmla="*/ 1428 h 142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</a:cxnLst>
              <a:rect l="0" t="0" r="r" b="b"/>
              <a:pathLst>
                <a:path w="6442" h="1428">
                  <a:moveTo>
                    <a:pt x="42" y="1428"/>
                  </a:moveTo>
                  <a:lnTo>
                    <a:pt x="0" y="1428"/>
                  </a:lnTo>
                  <a:lnTo>
                    <a:pt x="0" y="1422"/>
                  </a:lnTo>
                  <a:lnTo>
                    <a:pt x="0" y="1428"/>
                  </a:lnTo>
                  <a:lnTo>
                    <a:pt x="30" y="1428"/>
                  </a:lnTo>
                  <a:lnTo>
                    <a:pt x="30" y="1428"/>
                  </a:lnTo>
                  <a:lnTo>
                    <a:pt x="30" y="1428"/>
                  </a:lnTo>
                  <a:lnTo>
                    <a:pt x="48" y="1428"/>
                  </a:lnTo>
                  <a:lnTo>
                    <a:pt x="48" y="1428"/>
                  </a:lnTo>
                  <a:lnTo>
                    <a:pt x="48" y="1428"/>
                  </a:lnTo>
                  <a:lnTo>
                    <a:pt x="72" y="1428"/>
                  </a:lnTo>
                  <a:lnTo>
                    <a:pt x="72" y="1428"/>
                  </a:lnTo>
                  <a:lnTo>
                    <a:pt x="72" y="1428"/>
                  </a:lnTo>
                  <a:lnTo>
                    <a:pt x="78" y="1428"/>
                  </a:lnTo>
                  <a:lnTo>
                    <a:pt x="78" y="1428"/>
                  </a:lnTo>
                  <a:lnTo>
                    <a:pt x="78" y="1428"/>
                  </a:lnTo>
                  <a:lnTo>
                    <a:pt x="90" y="1428"/>
                  </a:lnTo>
                  <a:lnTo>
                    <a:pt x="90" y="732"/>
                  </a:lnTo>
                  <a:lnTo>
                    <a:pt x="90" y="1428"/>
                  </a:lnTo>
                  <a:lnTo>
                    <a:pt x="96" y="1428"/>
                  </a:lnTo>
                  <a:lnTo>
                    <a:pt x="96" y="1428"/>
                  </a:lnTo>
                  <a:lnTo>
                    <a:pt x="96" y="1428"/>
                  </a:lnTo>
                  <a:lnTo>
                    <a:pt x="131" y="1428"/>
                  </a:lnTo>
                  <a:lnTo>
                    <a:pt x="131" y="1380"/>
                  </a:lnTo>
                  <a:lnTo>
                    <a:pt x="131" y="1428"/>
                  </a:lnTo>
                  <a:lnTo>
                    <a:pt x="173" y="1428"/>
                  </a:lnTo>
                  <a:lnTo>
                    <a:pt x="173" y="1410"/>
                  </a:lnTo>
                  <a:lnTo>
                    <a:pt x="173" y="1428"/>
                  </a:lnTo>
                  <a:lnTo>
                    <a:pt x="215" y="1428"/>
                  </a:lnTo>
                  <a:lnTo>
                    <a:pt x="215" y="1422"/>
                  </a:lnTo>
                  <a:lnTo>
                    <a:pt x="215" y="1428"/>
                  </a:lnTo>
                  <a:lnTo>
                    <a:pt x="263" y="1428"/>
                  </a:lnTo>
                  <a:lnTo>
                    <a:pt x="263" y="1416"/>
                  </a:lnTo>
                  <a:lnTo>
                    <a:pt x="263" y="1428"/>
                  </a:lnTo>
                  <a:lnTo>
                    <a:pt x="304" y="1428"/>
                  </a:lnTo>
                  <a:lnTo>
                    <a:pt x="304" y="1428"/>
                  </a:lnTo>
                  <a:lnTo>
                    <a:pt x="304" y="1428"/>
                  </a:lnTo>
                  <a:lnTo>
                    <a:pt x="513" y="1428"/>
                  </a:lnTo>
                  <a:lnTo>
                    <a:pt x="513" y="1428"/>
                  </a:lnTo>
                  <a:lnTo>
                    <a:pt x="513" y="1428"/>
                  </a:lnTo>
                  <a:lnTo>
                    <a:pt x="555" y="1428"/>
                  </a:lnTo>
                  <a:lnTo>
                    <a:pt x="555" y="1398"/>
                  </a:lnTo>
                  <a:lnTo>
                    <a:pt x="555" y="1428"/>
                  </a:lnTo>
                  <a:lnTo>
                    <a:pt x="597" y="1428"/>
                  </a:lnTo>
                  <a:lnTo>
                    <a:pt x="597" y="1278"/>
                  </a:lnTo>
                  <a:lnTo>
                    <a:pt x="597" y="1428"/>
                  </a:lnTo>
                  <a:lnTo>
                    <a:pt x="615" y="1428"/>
                  </a:lnTo>
                  <a:lnTo>
                    <a:pt x="615" y="1428"/>
                  </a:lnTo>
                  <a:lnTo>
                    <a:pt x="615" y="1428"/>
                  </a:lnTo>
                  <a:lnTo>
                    <a:pt x="638" y="1428"/>
                  </a:lnTo>
                  <a:lnTo>
                    <a:pt x="638" y="1302"/>
                  </a:lnTo>
                  <a:lnTo>
                    <a:pt x="638" y="1428"/>
                  </a:lnTo>
                  <a:lnTo>
                    <a:pt x="674" y="1428"/>
                  </a:lnTo>
                  <a:lnTo>
                    <a:pt x="674" y="1428"/>
                  </a:lnTo>
                  <a:lnTo>
                    <a:pt x="674" y="1428"/>
                  </a:lnTo>
                  <a:lnTo>
                    <a:pt x="680" y="1428"/>
                  </a:lnTo>
                  <a:lnTo>
                    <a:pt x="680" y="1428"/>
                  </a:lnTo>
                  <a:lnTo>
                    <a:pt x="680" y="1428"/>
                  </a:lnTo>
                  <a:lnTo>
                    <a:pt x="686" y="1428"/>
                  </a:lnTo>
                  <a:lnTo>
                    <a:pt x="686" y="1020"/>
                  </a:lnTo>
                  <a:lnTo>
                    <a:pt x="686" y="1428"/>
                  </a:lnTo>
                  <a:lnTo>
                    <a:pt x="698" y="1428"/>
                  </a:lnTo>
                  <a:lnTo>
                    <a:pt x="698" y="1428"/>
                  </a:lnTo>
                  <a:lnTo>
                    <a:pt x="698" y="1428"/>
                  </a:lnTo>
                  <a:lnTo>
                    <a:pt x="704" y="1428"/>
                  </a:lnTo>
                  <a:lnTo>
                    <a:pt x="704" y="1428"/>
                  </a:lnTo>
                  <a:lnTo>
                    <a:pt x="704" y="1428"/>
                  </a:lnTo>
                  <a:lnTo>
                    <a:pt x="728" y="1428"/>
                  </a:lnTo>
                  <a:lnTo>
                    <a:pt x="728" y="1392"/>
                  </a:lnTo>
                  <a:lnTo>
                    <a:pt x="728" y="1428"/>
                  </a:lnTo>
                  <a:lnTo>
                    <a:pt x="740" y="1428"/>
                  </a:lnTo>
                  <a:lnTo>
                    <a:pt x="740" y="1428"/>
                  </a:lnTo>
                  <a:lnTo>
                    <a:pt x="740" y="1428"/>
                  </a:lnTo>
                  <a:lnTo>
                    <a:pt x="770" y="1428"/>
                  </a:lnTo>
                  <a:lnTo>
                    <a:pt x="770" y="1398"/>
                  </a:lnTo>
                  <a:lnTo>
                    <a:pt x="770" y="1428"/>
                  </a:lnTo>
                  <a:lnTo>
                    <a:pt x="811" y="1428"/>
                  </a:lnTo>
                  <a:lnTo>
                    <a:pt x="811" y="1428"/>
                  </a:lnTo>
                  <a:lnTo>
                    <a:pt x="811" y="1428"/>
                  </a:lnTo>
                  <a:lnTo>
                    <a:pt x="853" y="1428"/>
                  </a:lnTo>
                  <a:lnTo>
                    <a:pt x="853" y="1422"/>
                  </a:lnTo>
                  <a:lnTo>
                    <a:pt x="853" y="1428"/>
                  </a:lnTo>
                  <a:lnTo>
                    <a:pt x="895" y="1428"/>
                  </a:lnTo>
                  <a:lnTo>
                    <a:pt x="895" y="1428"/>
                  </a:lnTo>
                  <a:lnTo>
                    <a:pt x="895" y="1428"/>
                  </a:lnTo>
                  <a:lnTo>
                    <a:pt x="913" y="1428"/>
                  </a:lnTo>
                  <a:lnTo>
                    <a:pt x="913" y="1428"/>
                  </a:lnTo>
                  <a:lnTo>
                    <a:pt x="913" y="1428"/>
                  </a:lnTo>
                  <a:lnTo>
                    <a:pt x="937" y="1428"/>
                  </a:lnTo>
                  <a:lnTo>
                    <a:pt x="937" y="1428"/>
                  </a:lnTo>
                  <a:lnTo>
                    <a:pt x="937" y="1428"/>
                  </a:lnTo>
                  <a:lnTo>
                    <a:pt x="1110" y="1428"/>
                  </a:lnTo>
                  <a:lnTo>
                    <a:pt x="1110" y="1422"/>
                  </a:lnTo>
                  <a:lnTo>
                    <a:pt x="1110" y="1428"/>
                  </a:lnTo>
                  <a:lnTo>
                    <a:pt x="1151" y="1428"/>
                  </a:lnTo>
                  <a:lnTo>
                    <a:pt x="1151" y="1422"/>
                  </a:lnTo>
                  <a:lnTo>
                    <a:pt x="1151" y="1428"/>
                  </a:lnTo>
                  <a:lnTo>
                    <a:pt x="1193" y="1428"/>
                  </a:lnTo>
                  <a:lnTo>
                    <a:pt x="1193" y="1188"/>
                  </a:lnTo>
                  <a:lnTo>
                    <a:pt x="1193" y="1428"/>
                  </a:lnTo>
                  <a:lnTo>
                    <a:pt x="1235" y="1428"/>
                  </a:lnTo>
                  <a:lnTo>
                    <a:pt x="1235" y="1392"/>
                  </a:lnTo>
                  <a:lnTo>
                    <a:pt x="1235" y="1428"/>
                  </a:lnTo>
                  <a:lnTo>
                    <a:pt x="1283" y="1428"/>
                  </a:lnTo>
                  <a:lnTo>
                    <a:pt x="1283" y="1200"/>
                  </a:lnTo>
                  <a:lnTo>
                    <a:pt x="1283" y="1428"/>
                  </a:lnTo>
                  <a:lnTo>
                    <a:pt x="1324" y="1428"/>
                  </a:lnTo>
                  <a:lnTo>
                    <a:pt x="1324" y="1398"/>
                  </a:lnTo>
                  <a:lnTo>
                    <a:pt x="1324" y="1428"/>
                  </a:lnTo>
                  <a:lnTo>
                    <a:pt x="1366" y="1428"/>
                  </a:lnTo>
                  <a:lnTo>
                    <a:pt x="1366" y="1392"/>
                  </a:lnTo>
                  <a:lnTo>
                    <a:pt x="1366" y="1428"/>
                  </a:lnTo>
                  <a:lnTo>
                    <a:pt x="1408" y="1428"/>
                  </a:lnTo>
                  <a:lnTo>
                    <a:pt x="1408" y="1428"/>
                  </a:lnTo>
                  <a:lnTo>
                    <a:pt x="1408" y="1428"/>
                  </a:lnTo>
                  <a:lnTo>
                    <a:pt x="1450" y="1428"/>
                  </a:lnTo>
                  <a:lnTo>
                    <a:pt x="1450" y="1428"/>
                  </a:lnTo>
                  <a:lnTo>
                    <a:pt x="1450" y="1428"/>
                  </a:lnTo>
                  <a:lnTo>
                    <a:pt x="1467" y="1428"/>
                  </a:lnTo>
                  <a:lnTo>
                    <a:pt x="1467" y="1428"/>
                  </a:lnTo>
                  <a:lnTo>
                    <a:pt x="1467" y="1428"/>
                  </a:lnTo>
                  <a:lnTo>
                    <a:pt x="1491" y="1428"/>
                  </a:lnTo>
                  <a:lnTo>
                    <a:pt x="1491" y="1428"/>
                  </a:lnTo>
                  <a:lnTo>
                    <a:pt x="1491" y="1428"/>
                  </a:lnTo>
                  <a:lnTo>
                    <a:pt x="1533" y="1428"/>
                  </a:lnTo>
                  <a:lnTo>
                    <a:pt x="1533" y="1428"/>
                  </a:lnTo>
                  <a:lnTo>
                    <a:pt x="1533" y="1428"/>
                  </a:lnTo>
                  <a:lnTo>
                    <a:pt x="1617" y="1428"/>
                  </a:lnTo>
                  <a:lnTo>
                    <a:pt x="1617" y="1428"/>
                  </a:lnTo>
                  <a:lnTo>
                    <a:pt x="1617" y="1428"/>
                  </a:lnTo>
                  <a:lnTo>
                    <a:pt x="1706" y="1428"/>
                  </a:lnTo>
                  <a:lnTo>
                    <a:pt x="1706" y="1410"/>
                  </a:lnTo>
                  <a:lnTo>
                    <a:pt x="1706" y="1428"/>
                  </a:lnTo>
                  <a:lnTo>
                    <a:pt x="1748" y="1428"/>
                  </a:lnTo>
                  <a:lnTo>
                    <a:pt x="1748" y="1428"/>
                  </a:lnTo>
                  <a:lnTo>
                    <a:pt x="1748" y="1428"/>
                  </a:lnTo>
                  <a:lnTo>
                    <a:pt x="1760" y="1428"/>
                  </a:lnTo>
                  <a:lnTo>
                    <a:pt x="1760" y="1428"/>
                  </a:lnTo>
                  <a:lnTo>
                    <a:pt x="1760" y="1428"/>
                  </a:lnTo>
                  <a:lnTo>
                    <a:pt x="1784" y="1428"/>
                  </a:lnTo>
                  <a:lnTo>
                    <a:pt x="1784" y="1428"/>
                  </a:lnTo>
                  <a:lnTo>
                    <a:pt x="1784" y="1428"/>
                  </a:lnTo>
                  <a:lnTo>
                    <a:pt x="1790" y="1428"/>
                  </a:lnTo>
                  <a:lnTo>
                    <a:pt x="1790" y="1200"/>
                  </a:lnTo>
                  <a:lnTo>
                    <a:pt x="1790" y="1428"/>
                  </a:lnTo>
                  <a:lnTo>
                    <a:pt x="1831" y="1428"/>
                  </a:lnTo>
                  <a:lnTo>
                    <a:pt x="1831" y="1404"/>
                  </a:lnTo>
                  <a:lnTo>
                    <a:pt x="1831" y="1428"/>
                  </a:lnTo>
                  <a:lnTo>
                    <a:pt x="1867" y="1428"/>
                  </a:lnTo>
                  <a:lnTo>
                    <a:pt x="1867" y="1428"/>
                  </a:lnTo>
                  <a:lnTo>
                    <a:pt x="1867" y="1428"/>
                  </a:lnTo>
                  <a:lnTo>
                    <a:pt x="1873" y="1428"/>
                  </a:lnTo>
                  <a:lnTo>
                    <a:pt x="1873" y="1236"/>
                  </a:lnTo>
                  <a:lnTo>
                    <a:pt x="1873" y="1428"/>
                  </a:lnTo>
                  <a:lnTo>
                    <a:pt x="1879" y="1428"/>
                  </a:lnTo>
                  <a:lnTo>
                    <a:pt x="1879" y="1428"/>
                  </a:lnTo>
                  <a:lnTo>
                    <a:pt x="1879" y="1428"/>
                  </a:lnTo>
                  <a:lnTo>
                    <a:pt x="1903" y="1428"/>
                  </a:lnTo>
                  <a:lnTo>
                    <a:pt x="1903" y="1428"/>
                  </a:lnTo>
                  <a:lnTo>
                    <a:pt x="1903" y="1428"/>
                  </a:lnTo>
                  <a:lnTo>
                    <a:pt x="1921" y="1428"/>
                  </a:lnTo>
                  <a:lnTo>
                    <a:pt x="1921" y="1404"/>
                  </a:lnTo>
                  <a:lnTo>
                    <a:pt x="1921" y="1428"/>
                  </a:lnTo>
                  <a:lnTo>
                    <a:pt x="1962" y="1428"/>
                  </a:lnTo>
                  <a:lnTo>
                    <a:pt x="1962" y="1398"/>
                  </a:lnTo>
                  <a:lnTo>
                    <a:pt x="1962" y="1428"/>
                  </a:lnTo>
                  <a:lnTo>
                    <a:pt x="1986" y="1428"/>
                  </a:lnTo>
                  <a:lnTo>
                    <a:pt x="1986" y="1428"/>
                  </a:lnTo>
                  <a:lnTo>
                    <a:pt x="1986" y="1428"/>
                  </a:lnTo>
                  <a:lnTo>
                    <a:pt x="1998" y="1428"/>
                  </a:lnTo>
                  <a:lnTo>
                    <a:pt x="1998" y="1422"/>
                  </a:lnTo>
                  <a:lnTo>
                    <a:pt x="1998" y="1428"/>
                  </a:lnTo>
                  <a:lnTo>
                    <a:pt x="2046" y="1428"/>
                  </a:lnTo>
                  <a:lnTo>
                    <a:pt x="2046" y="1422"/>
                  </a:lnTo>
                  <a:lnTo>
                    <a:pt x="2046" y="1428"/>
                  </a:lnTo>
                  <a:lnTo>
                    <a:pt x="2213" y="1428"/>
                  </a:lnTo>
                  <a:lnTo>
                    <a:pt x="2213" y="1428"/>
                  </a:lnTo>
                  <a:lnTo>
                    <a:pt x="2213" y="1428"/>
                  </a:lnTo>
                  <a:lnTo>
                    <a:pt x="2255" y="1428"/>
                  </a:lnTo>
                  <a:lnTo>
                    <a:pt x="2255" y="1428"/>
                  </a:lnTo>
                  <a:lnTo>
                    <a:pt x="2255" y="1428"/>
                  </a:lnTo>
                  <a:lnTo>
                    <a:pt x="2302" y="1428"/>
                  </a:lnTo>
                  <a:lnTo>
                    <a:pt x="2302" y="1398"/>
                  </a:lnTo>
                  <a:lnTo>
                    <a:pt x="2302" y="1428"/>
                  </a:lnTo>
                  <a:lnTo>
                    <a:pt x="2344" y="1428"/>
                  </a:lnTo>
                  <a:lnTo>
                    <a:pt x="2344" y="1416"/>
                  </a:lnTo>
                  <a:lnTo>
                    <a:pt x="2344" y="1428"/>
                  </a:lnTo>
                  <a:lnTo>
                    <a:pt x="2362" y="1428"/>
                  </a:lnTo>
                  <a:lnTo>
                    <a:pt x="2362" y="1428"/>
                  </a:lnTo>
                  <a:lnTo>
                    <a:pt x="2362" y="1428"/>
                  </a:lnTo>
                  <a:lnTo>
                    <a:pt x="2380" y="1428"/>
                  </a:lnTo>
                  <a:lnTo>
                    <a:pt x="2380" y="1428"/>
                  </a:lnTo>
                  <a:lnTo>
                    <a:pt x="2380" y="1428"/>
                  </a:lnTo>
                  <a:lnTo>
                    <a:pt x="2386" y="1428"/>
                  </a:lnTo>
                  <a:lnTo>
                    <a:pt x="2386" y="912"/>
                  </a:lnTo>
                  <a:lnTo>
                    <a:pt x="2386" y="1428"/>
                  </a:lnTo>
                  <a:lnTo>
                    <a:pt x="2404" y="1428"/>
                  </a:lnTo>
                  <a:lnTo>
                    <a:pt x="2404" y="1428"/>
                  </a:lnTo>
                  <a:lnTo>
                    <a:pt x="2404" y="1428"/>
                  </a:lnTo>
                  <a:lnTo>
                    <a:pt x="2410" y="1428"/>
                  </a:lnTo>
                  <a:lnTo>
                    <a:pt x="2410" y="1428"/>
                  </a:lnTo>
                  <a:lnTo>
                    <a:pt x="2410" y="1428"/>
                  </a:lnTo>
                  <a:lnTo>
                    <a:pt x="2422" y="1428"/>
                  </a:lnTo>
                  <a:lnTo>
                    <a:pt x="2422" y="1428"/>
                  </a:lnTo>
                  <a:lnTo>
                    <a:pt x="2422" y="1428"/>
                  </a:lnTo>
                  <a:lnTo>
                    <a:pt x="2428" y="1428"/>
                  </a:lnTo>
                  <a:lnTo>
                    <a:pt x="2428" y="1230"/>
                  </a:lnTo>
                  <a:lnTo>
                    <a:pt x="2428" y="1428"/>
                  </a:lnTo>
                  <a:lnTo>
                    <a:pt x="2446" y="1428"/>
                  </a:lnTo>
                  <a:lnTo>
                    <a:pt x="2446" y="1422"/>
                  </a:lnTo>
                  <a:lnTo>
                    <a:pt x="2446" y="1428"/>
                  </a:lnTo>
                  <a:lnTo>
                    <a:pt x="2458" y="1428"/>
                  </a:lnTo>
                  <a:lnTo>
                    <a:pt x="2458" y="1428"/>
                  </a:lnTo>
                  <a:lnTo>
                    <a:pt x="2458" y="1428"/>
                  </a:lnTo>
                  <a:lnTo>
                    <a:pt x="2469" y="1428"/>
                  </a:lnTo>
                  <a:lnTo>
                    <a:pt x="2469" y="0"/>
                  </a:lnTo>
                  <a:lnTo>
                    <a:pt x="2469" y="1428"/>
                  </a:lnTo>
                  <a:lnTo>
                    <a:pt x="2475" y="1428"/>
                  </a:lnTo>
                  <a:lnTo>
                    <a:pt x="2475" y="1422"/>
                  </a:lnTo>
                  <a:lnTo>
                    <a:pt x="2475" y="1428"/>
                  </a:lnTo>
                  <a:lnTo>
                    <a:pt x="2481" y="1428"/>
                  </a:lnTo>
                  <a:lnTo>
                    <a:pt x="2481" y="1422"/>
                  </a:lnTo>
                  <a:lnTo>
                    <a:pt x="2481" y="1428"/>
                  </a:lnTo>
                  <a:lnTo>
                    <a:pt x="2505" y="1428"/>
                  </a:lnTo>
                  <a:lnTo>
                    <a:pt x="2505" y="1428"/>
                  </a:lnTo>
                  <a:lnTo>
                    <a:pt x="2505" y="1428"/>
                  </a:lnTo>
                  <a:lnTo>
                    <a:pt x="2511" y="1428"/>
                  </a:lnTo>
                  <a:lnTo>
                    <a:pt x="2511" y="1254"/>
                  </a:lnTo>
                  <a:lnTo>
                    <a:pt x="2511" y="1428"/>
                  </a:lnTo>
                  <a:lnTo>
                    <a:pt x="2535" y="1428"/>
                  </a:lnTo>
                  <a:lnTo>
                    <a:pt x="2535" y="1428"/>
                  </a:lnTo>
                  <a:lnTo>
                    <a:pt x="2535" y="1428"/>
                  </a:lnTo>
                  <a:lnTo>
                    <a:pt x="2553" y="1428"/>
                  </a:lnTo>
                  <a:lnTo>
                    <a:pt x="2553" y="1386"/>
                  </a:lnTo>
                  <a:lnTo>
                    <a:pt x="2553" y="1428"/>
                  </a:lnTo>
                  <a:lnTo>
                    <a:pt x="2565" y="1428"/>
                  </a:lnTo>
                  <a:lnTo>
                    <a:pt x="2565" y="1428"/>
                  </a:lnTo>
                  <a:lnTo>
                    <a:pt x="2565" y="1428"/>
                  </a:lnTo>
                  <a:lnTo>
                    <a:pt x="2595" y="1428"/>
                  </a:lnTo>
                  <a:lnTo>
                    <a:pt x="2595" y="1428"/>
                  </a:lnTo>
                  <a:lnTo>
                    <a:pt x="2595" y="1428"/>
                  </a:lnTo>
                  <a:lnTo>
                    <a:pt x="2601" y="1428"/>
                  </a:lnTo>
                  <a:lnTo>
                    <a:pt x="2601" y="1422"/>
                  </a:lnTo>
                  <a:lnTo>
                    <a:pt x="2601" y="1428"/>
                  </a:lnTo>
                  <a:lnTo>
                    <a:pt x="2613" y="1428"/>
                  </a:lnTo>
                  <a:lnTo>
                    <a:pt x="2613" y="1428"/>
                  </a:lnTo>
                  <a:lnTo>
                    <a:pt x="2613" y="1428"/>
                  </a:lnTo>
                  <a:lnTo>
                    <a:pt x="2642" y="1428"/>
                  </a:lnTo>
                  <a:lnTo>
                    <a:pt x="2642" y="1422"/>
                  </a:lnTo>
                  <a:lnTo>
                    <a:pt x="2642" y="1428"/>
                  </a:lnTo>
                  <a:lnTo>
                    <a:pt x="2678" y="1428"/>
                  </a:lnTo>
                  <a:lnTo>
                    <a:pt x="2678" y="1428"/>
                  </a:lnTo>
                  <a:lnTo>
                    <a:pt x="2678" y="1428"/>
                  </a:lnTo>
                  <a:lnTo>
                    <a:pt x="2726" y="1428"/>
                  </a:lnTo>
                  <a:lnTo>
                    <a:pt x="2726" y="1428"/>
                  </a:lnTo>
                  <a:lnTo>
                    <a:pt x="2726" y="1428"/>
                  </a:lnTo>
                  <a:lnTo>
                    <a:pt x="2893" y="1428"/>
                  </a:lnTo>
                  <a:lnTo>
                    <a:pt x="2893" y="1422"/>
                  </a:lnTo>
                  <a:lnTo>
                    <a:pt x="2893" y="1428"/>
                  </a:lnTo>
                  <a:lnTo>
                    <a:pt x="2941" y="1428"/>
                  </a:lnTo>
                  <a:lnTo>
                    <a:pt x="2941" y="1416"/>
                  </a:lnTo>
                  <a:lnTo>
                    <a:pt x="2941" y="1428"/>
                  </a:lnTo>
                  <a:lnTo>
                    <a:pt x="2964" y="1428"/>
                  </a:lnTo>
                  <a:lnTo>
                    <a:pt x="2964" y="1428"/>
                  </a:lnTo>
                  <a:lnTo>
                    <a:pt x="2964" y="1428"/>
                  </a:lnTo>
                  <a:lnTo>
                    <a:pt x="2982" y="1428"/>
                  </a:lnTo>
                  <a:lnTo>
                    <a:pt x="2982" y="1374"/>
                  </a:lnTo>
                  <a:lnTo>
                    <a:pt x="2982" y="1428"/>
                  </a:lnTo>
                  <a:lnTo>
                    <a:pt x="3024" y="1428"/>
                  </a:lnTo>
                  <a:lnTo>
                    <a:pt x="3024" y="1416"/>
                  </a:lnTo>
                  <a:lnTo>
                    <a:pt x="3024" y="1428"/>
                  </a:lnTo>
                  <a:lnTo>
                    <a:pt x="3066" y="1428"/>
                  </a:lnTo>
                  <a:lnTo>
                    <a:pt x="3066" y="1302"/>
                  </a:lnTo>
                  <a:lnTo>
                    <a:pt x="3066" y="1428"/>
                  </a:lnTo>
                  <a:lnTo>
                    <a:pt x="3102" y="1428"/>
                  </a:lnTo>
                  <a:lnTo>
                    <a:pt x="3102" y="1428"/>
                  </a:lnTo>
                  <a:lnTo>
                    <a:pt x="3102" y="1428"/>
                  </a:lnTo>
                  <a:lnTo>
                    <a:pt x="3108" y="1428"/>
                  </a:lnTo>
                  <a:lnTo>
                    <a:pt x="3108" y="1374"/>
                  </a:lnTo>
                  <a:lnTo>
                    <a:pt x="3108" y="1428"/>
                  </a:lnTo>
                  <a:lnTo>
                    <a:pt x="3143" y="1428"/>
                  </a:lnTo>
                  <a:lnTo>
                    <a:pt x="3143" y="1428"/>
                  </a:lnTo>
                  <a:lnTo>
                    <a:pt x="3143" y="1428"/>
                  </a:lnTo>
                  <a:lnTo>
                    <a:pt x="3149" y="1428"/>
                  </a:lnTo>
                  <a:lnTo>
                    <a:pt x="3149" y="1170"/>
                  </a:lnTo>
                  <a:lnTo>
                    <a:pt x="3149" y="1428"/>
                  </a:lnTo>
                  <a:lnTo>
                    <a:pt x="3191" y="1428"/>
                  </a:lnTo>
                  <a:lnTo>
                    <a:pt x="3191" y="1404"/>
                  </a:lnTo>
                  <a:lnTo>
                    <a:pt x="3191" y="1428"/>
                  </a:lnTo>
                  <a:lnTo>
                    <a:pt x="3233" y="1428"/>
                  </a:lnTo>
                  <a:lnTo>
                    <a:pt x="3233" y="1398"/>
                  </a:lnTo>
                  <a:lnTo>
                    <a:pt x="3233" y="1428"/>
                  </a:lnTo>
                  <a:lnTo>
                    <a:pt x="3281" y="1428"/>
                  </a:lnTo>
                  <a:lnTo>
                    <a:pt x="3281" y="1428"/>
                  </a:lnTo>
                  <a:lnTo>
                    <a:pt x="3281" y="1428"/>
                  </a:lnTo>
                  <a:lnTo>
                    <a:pt x="3316" y="1428"/>
                  </a:lnTo>
                  <a:lnTo>
                    <a:pt x="3316" y="1428"/>
                  </a:lnTo>
                  <a:lnTo>
                    <a:pt x="3316" y="1428"/>
                  </a:lnTo>
                  <a:lnTo>
                    <a:pt x="3406" y="1428"/>
                  </a:lnTo>
                  <a:lnTo>
                    <a:pt x="3406" y="1428"/>
                  </a:lnTo>
                  <a:lnTo>
                    <a:pt x="3406" y="1428"/>
                  </a:lnTo>
                  <a:lnTo>
                    <a:pt x="3489" y="1428"/>
                  </a:lnTo>
                  <a:lnTo>
                    <a:pt x="3489" y="1404"/>
                  </a:lnTo>
                  <a:lnTo>
                    <a:pt x="3489" y="1428"/>
                  </a:lnTo>
                  <a:lnTo>
                    <a:pt x="3531" y="1428"/>
                  </a:lnTo>
                  <a:lnTo>
                    <a:pt x="3531" y="1422"/>
                  </a:lnTo>
                  <a:lnTo>
                    <a:pt x="3531" y="1428"/>
                  </a:lnTo>
                  <a:lnTo>
                    <a:pt x="3579" y="1428"/>
                  </a:lnTo>
                  <a:lnTo>
                    <a:pt x="3579" y="1404"/>
                  </a:lnTo>
                  <a:lnTo>
                    <a:pt x="3579" y="1428"/>
                  </a:lnTo>
                  <a:lnTo>
                    <a:pt x="3621" y="1428"/>
                  </a:lnTo>
                  <a:lnTo>
                    <a:pt x="3621" y="1422"/>
                  </a:lnTo>
                  <a:lnTo>
                    <a:pt x="3621" y="1428"/>
                  </a:lnTo>
                  <a:lnTo>
                    <a:pt x="3656" y="1428"/>
                  </a:lnTo>
                  <a:lnTo>
                    <a:pt x="3656" y="1428"/>
                  </a:lnTo>
                  <a:lnTo>
                    <a:pt x="3656" y="1428"/>
                  </a:lnTo>
                  <a:lnTo>
                    <a:pt x="3662" y="1428"/>
                  </a:lnTo>
                  <a:lnTo>
                    <a:pt x="3662" y="1374"/>
                  </a:lnTo>
                  <a:lnTo>
                    <a:pt x="3662" y="1428"/>
                  </a:lnTo>
                  <a:lnTo>
                    <a:pt x="3698" y="1428"/>
                  </a:lnTo>
                  <a:lnTo>
                    <a:pt x="3698" y="1428"/>
                  </a:lnTo>
                  <a:lnTo>
                    <a:pt x="3698" y="1428"/>
                  </a:lnTo>
                  <a:lnTo>
                    <a:pt x="3704" y="1428"/>
                  </a:lnTo>
                  <a:lnTo>
                    <a:pt x="3704" y="1110"/>
                  </a:lnTo>
                  <a:lnTo>
                    <a:pt x="3704" y="1428"/>
                  </a:lnTo>
                  <a:lnTo>
                    <a:pt x="3716" y="1428"/>
                  </a:lnTo>
                  <a:lnTo>
                    <a:pt x="3716" y="1428"/>
                  </a:lnTo>
                  <a:lnTo>
                    <a:pt x="3716" y="1428"/>
                  </a:lnTo>
                  <a:lnTo>
                    <a:pt x="3746" y="1428"/>
                  </a:lnTo>
                  <a:lnTo>
                    <a:pt x="3746" y="1362"/>
                  </a:lnTo>
                  <a:lnTo>
                    <a:pt x="3746" y="1428"/>
                  </a:lnTo>
                  <a:lnTo>
                    <a:pt x="3788" y="1428"/>
                  </a:lnTo>
                  <a:lnTo>
                    <a:pt x="3788" y="1266"/>
                  </a:lnTo>
                  <a:lnTo>
                    <a:pt x="3788" y="1428"/>
                  </a:lnTo>
                  <a:lnTo>
                    <a:pt x="3823" y="1428"/>
                  </a:lnTo>
                  <a:lnTo>
                    <a:pt x="3823" y="1428"/>
                  </a:lnTo>
                  <a:lnTo>
                    <a:pt x="3823" y="1428"/>
                  </a:lnTo>
                  <a:lnTo>
                    <a:pt x="3829" y="1428"/>
                  </a:lnTo>
                  <a:lnTo>
                    <a:pt x="3829" y="1368"/>
                  </a:lnTo>
                  <a:lnTo>
                    <a:pt x="3829" y="1428"/>
                  </a:lnTo>
                  <a:lnTo>
                    <a:pt x="3847" y="1428"/>
                  </a:lnTo>
                  <a:lnTo>
                    <a:pt x="3847" y="1428"/>
                  </a:lnTo>
                  <a:lnTo>
                    <a:pt x="3847" y="1428"/>
                  </a:lnTo>
                  <a:lnTo>
                    <a:pt x="3871" y="1428"/>
                  </a:lnTo>
                  <a:lnTo>
                    <a:pt x="3871" y="1428"/>
                  </a:lnTo>
                  <a:lnTo>
                    <a:pt x="3871" y="1428"/>
                  </a:lnTo>
                  <a:lnTo>
                    <a:pt x="3877" y="1428"/>
                  </a:lnTo>
                  <a:lnTo>
                    <a:pt x="3877" y="1428"/>
                  </a:lnTo>
                  <a:lnTo>
                    <a:pt x="3877" y="1428"/>
                  </a:lnTo>
                  <a:lnTo>
                    <a:pt x="3913" y="1428"/>
                  </a:lnTo>
                  <a:lnTo>
                    <a:pt x="3913" y="1428"/>
                  </a:lnTo>
                  <a:lnTo>
                    <a:pt x="3913" y="1428"/>
                  </a:lnTo>
                  <a:lnTo>
                    <a:pt x="3955" y="1428"/>
                  </a:lnTo>
                  <a:lnTo>
                    <a:pt x="3955" y="1428"/>
                  </a:lnTo>
                  <a:lnTo>
                    <a:pt x="3955" y="1428"/>
                  </a:lnTo>
                  <a:lnTo>
                    <a:pt x="4002" y="1428"/>
                  </a:lnTo>
                  <a:lnTo>
                    <a:pt x="4002" y="1428"/>
                  </a:lnTo>
                  <a:lnTo>
                    <a:pt x="4002" y="1428"/>
                  </a:lnTo>
                  <a:lnTo>
                    <a:pt x="4044" y="1428"/>
                  </a:lnTo>
                  <a:lnTo>
                    <a:pt x="4044" y="1428"/>
                  </a:lnTo>
                  <a:lnTo>
                    <a:pt x="4044" y="1428"/>
                  </a:lnTo>
                  <a:lnTo>
                    <a:pt x="4086" y="1428"/>
                  </a:lnTo>
                  <a:lnTo>
                    <a:pt x="4086" y="1428"/>
                  </a:lnTo>
                  <a:lnTo>
                    <a:pt x="4086" y="1428"/>
                  </a:lnTo>
                  <a:lnTo>
                    <a:pt x="4128" y="1428"/>
                  </a:lnTo>
                  <a:lnTo>
                    <a:pt x="4128" y="1428"/>
                  </a:lnTo>
                  <a:lnTo>
                    <a:pt x="4128" y="1428"/>
                  </a:lnTo>
                  <a:lnTo>
                    <a:pt x="4175" y="1428"/>
                  </a:lnTo>
                  <a:lnTo>
                    <a:pt x="4175" y="1380"/>
                  </a:lnTo>
                  <a:lnTo>
                    <a:pt x="4175" y="1428"/>
                  </a:lnTo>
                  <a:lnTo>
                    <a:pt x="4217" y="1428"/>
                  </a:lnTo>
                  <a:lnTo>
                    <a:pt x="4217" y="1428"/>
                  </a:lnTo>
                  <a:lnTo>
                    <a:pt x="4217" y="1428"/>
                  </a:lnTo>
                  <a:lnTo>
                    <a:pt x="4259" y="1428"/>
                  </a:lnTo>
                  <a:lnTo>
                    <a:pt x="4259" y="1260"/>
                  </a:lnTo>
                  <a:lnTo>
                    <a:pt x="4259" y="1428"/>
                  </a:lnTo>
                  <a:lnTo>
                    <a:pt x="4277" y="1428"/>
                  </a:lnTo>
                  <a:lnTo>
                    <a:pt x="4277" y="1428"/>
                  </a:lnTo>
                  <a:lnTo>
                    <a:pt x="4277" y="1428"/>
                  </a:lnTo>
                  <a:lnTo>
                    <a:pt x="4300" y="1428"/>
                  </a:lnTo>
                  <a:lnTo>
                    <a:pt x="4300" y="1410"/>
                  </a:lnTo>
                  <a:lnTo>
                    <a:pt x="4300" y="1428"/>
                  </a:lnTo>
                  <a:lnTo>
                    <a:pt x="4342" y="1428"/>
                  </a:lnTo>
                  <a:lnTo>
                    <a:pt x="4342" y="1422"/>
                  </a:lnTo>
                  <a:lnTo>
                    <a:pt x="4342" y="1428"/>
                  </a:lnTo>
                  <a:lnTo>
                    <a:pt x="4384" y="1428"/>
                  </a:lnTo>
                  <a:lnTo>
                    <a:pt x="4384" y="1404"/>
                  </a:lnTo>
                  <a:lnTo>
                    <a:pt x="4384" y="1428"/>
                  </a:lnTo>
                  <a:lnTo>
                    <a:pt x="4426" y="1428"/>
                  </a:lnTo>
                  <a:lnTo>
                    <a:pt x="4426" y="1410"/>
                  </a:lnTo>
                  <a:lnTo>
                    <a:pt x="4426" y="1428"/>
                  </a:lnTo>
                  <a:lnTo>
                    <a:pt x="4467" y="1428"/>
                  </a:lnTo>
                  <a:lnTo>
                    <a:pt x="4467" y="1422"/>
                  </a:lnTo>
                  <a:lnTo>
                    <a:pt x="4467" y="1428"/>
                  </a:lnTo>
                  <a:lnTo>
                    <a:pt x="4509" y="1428"/>
                  </a:lnTo>
                  <a:lnTo>
                    <a:pt x="4509" y="1428"/>
                  </a:lnTo>
                  <a:lnTo>
                    <a:pt x="4509" y="1428"/>
                  </a:lnTo>
                  <a:lnTo>
                    <a:pt x="4682" y="1428"/>
                  </a:lnTo>
                  <a:lnTo>
                    <a:pt x="4682" y="1422"/>
                  </a:lnTo>
                  <a:lnTo>
                    <a:pt x="4682" y="1428"/>
                  </a:lnTo>
                  <a:lnTo>
                    <a:pt x="4724" y="1428"/>
                  </a:lnTo>
                  <a:lnTo>
                    <a:pt x="4724" y="1428"/>
                  </a:lnTo>
                  <a:lnTo>
                    <a:pt x="4724" y="1428"/>
                  </a:lnTo>
                  <a:lnTo>
                    <a:pt x="4736" y="1428"/>
                  </a:lnTo>
                  <a:lnTo>
                    <a:pt x="4736" y="1428"/>
                  </a:lnTo>
                  <a:lnTo>
                    <a:pt x="4736" y="1428"/>
                  </a:lnTo>
                  <a:lnTo>
                    <a:pt x="4760" y="1428"/>
                  </a:lnTo>
                  <a:lnTo>
                    <a:pt x="4760" y="1428"/>
                  </a:lnTo>
                  <a:lnTo>
                    <a:pt x="4760" y="1428"/>
                  </a:lnTo>
                  <a:lnTo>
                    <a:pt x="4766" y="1428"/>
                  </a:lnTo>
                  <a:lnTo>
                    <a:pt x="4766" y="462"/>
                  </a:lnTo>
                  <a:lnTo>
                    <a:pt x="4766" y="1428"/>
                  </a:lnTo>
                  <a:lnTo>
                    <a:pt x="4796" y="1428"/>
                  </a:lnTo>
                  <a:lnTo>
                    <a:pt x="4796" y="1428"/>
                  </a:lnTo>
                  <a:lnTo>
                    <a:pt x="4796" y="1428"/>
                  </a:lnTo>
                  <a:lnTo>
                    <a:pt x="4807" y="1428"/>
                  </a:lnTo>
                  <a:lnTo>
                    <a:pt x="4807" y="1428"/>
                  </a:lnTo>
                  <a:lnTo>
                    <a:pt x="4807" y="1428"/>
                  </a:lnTo>
                  <a:lnTo>
                    <a:pt x="4813" y="1428"/>
                  </a:lnTo>
                  <a:lnTo>
                    <a:pt x="4813" y="1278"/>
                  </a:lnTo>
                  <a:lnTo>
                    <a:pt x="4813" y="1428"/>
                  </a:lnTo>
                  <a:lnTo>
                    <a:pt x="4843" y="1428"/>
                  </a:lnTo>
                  <a:lnTo>
                    <a:pt x="4843" y="1428"/>
                  </a:lnTo>
                  <a:lnTo>
                    <a:pt x="4843" y="1428"/>
                  </a:lnTo>
                  <a:lnTo>
                    <a:pt x="4849" y="1428"/>
                  </a:lnTo>
                  <a:lnTo>
                    <a:pt x="4849" y="1422"/>
                  </a:lnTo>
                  <a:lnTo>
                    <a:pt x="4849" y="1428"/>
                  </a:lnTo>
                  <a:lnTo>
                    <a:pt x="4855" y="1428"/>
                  </a:lnTo>
                  <a:lnTo>
                    <a:pt x="4855" y="972"/>
                  </a:lnTo>
                  <a:lnTo>
                    <a:pt x="4855" y="1428"/>
                  </a:lnTo>
                  <a:lnTo>
                    <a:pt x="4861" y="1428"/>
                  </a:lnTo>
                  <a:lnTo>
                    <a:pt x="4861" y="1428"/>
                  </a:lnTo>
                  <a:lnTo>
                    <a:pt x="4861" y="1428"/>
                  </a:lnTo>
                  <a:lnTo>
                    <a:pt x="4867" y="1428"/>
                  </a:lnTo>
                  <a:lnTo>
                    <a:pt x="4867" y="1428"/>
                  </a:lnTo>
                  <a:lnTo>
                    <a:pt x="4867" y="1428"/>
                  </a:lnTo>
                  <a:lnTo>
                    <a:pt x="4885" y="1428"/>
                  </a:lnTo>
                  <a:lnTo>
                    <a:pt x="4885" y="1428"/>
                  </a:lnTo>
                  <a:lnTo>
                    <a:pt x="4885" y="1428"/>
                  </a:lnTo>
                  <a:lnTo>
                    <a:pt x="4891" y="1428"/>
                  </a:lnTo>
                  <a:lnTo>
                    <a:pt x="4891" y="1428"/>
                  </a:lnTo>
                  <a:lnTo>
                    <a:pt x="4891" y="1428"/>
                  </a:lnTo>
                  <a:lnTo>
                    <a:pt x="4897" y="1428"/>
                  </a:lnTo>
                  <a:lnTo>
                    <a:pt x="4897" y="1374"/>
                  </a:lnTo>
                  <a:lnTo>
                    <a:pt x="4897" y="1428"/>
                  </a:lnTo>
                  <a:lnTo>
                    <a:pt x="4903" y="1428"/>
                  </a:lnTo>
                  <a:lnTo>
                    <a:pt x="4903" y="1428"/>
                  </a:lnTo>
                  <a:lnTo>
                    <a:pt x="4903" y="1428"/>
                  </a:lnTo>
                  <a:lnTo>
                    <a:pt x="4933" y="1428"/>
                  </a:lnTo>
                  <a:lnTo>
                    <a:pt x="4933" y="1428"/>
                  </a:lnTo>
                  <a:lnTo>
                    <a:pt x="4933" y="1428"/>
                  </a:lnTo>
                  <a:lnTo>
                    <a:pt x="4939" y="1428"/>
                  </a:lnTo>
                  <a:lnTo>
                    <a:pt x="4939" y="1422"/>
                  </a:lnTo>
                  <a:lnTo>
                    <a:pt x="4939" y="1428"/>
                  </a:lnTo>
                  <a:lnTo>
                    <a:pt x="4945" y="1428"/>
                  </a:lnTo>
                  <a:lnTo>
                    <a:pt x="4945" y="1428"/>
                  </a:lnTo>
                  <a:lnTo>
                    <a:pt x="4945" y="1428"/>
                  </a:lnTo>
                  <a:lnTo>
                    <a:pt x="4974" y="1428"/>
                  </a:lnTo>
                  <a:lnTo>
                    <a:pt x="4974" y="1428"/>
                  </a:lnTo>
                  <a:lnTo>
                    <a:pt x="4974" y="1428"/>
                  </a:lnTo>
                  <a:lnTo>
                    <a:pt x="4980" y="1428"/>
                  </a:lnTo>
                  <a:lnTo>
                    <a:pt x="4980" y="1428"/>
                  </a:lnTo>
                  <a:lnTo>
                    <a:pt x="4980" y="1428"/>
                  </a:lnTo>
                  <a:lnTo>
                    <a:pt x="5022" y="1428"/>
                  </a:lnTo>
                  <a:lnTo>
                    <a:pt x="5022" y="1410"/>
                  </a:lnTo>
                  <a:lnTo>
                    <a:pt x="5022" y="1428"/>
                  </a:lnTo>
                  <a:lnTo>
                    <a:pt x="5064" y="1428"/>
                  </a:lnTo>
                  <a:lnTo>
                    <a:pt x="5064" y="1416"/>
                  </a:lnTo>
                  <a:lnTo>
                    <a:pt x="5064" y="1428"/>
                  </a:lnTo>
                  <a:lnTo>
                    <a:pt x="5106" y="1428"/>
                  </a:lnTo>
                  <a:lnTo>
                    <a:pt x="5106" y="1428"/>
                  </a:lnTo>
                  <a:lnTo>
                    <a:pt x="5106" y="1428"/>
                  </a:lnTo>
                  <a:lnTo>
                    <a:pt x="5189" y="1428"/>
                  </a:lnTo>
                  <a:lnTo>
                    <a:pt x="5189" y="1428"/>
                  </a:lnTo>
                  <a:lnTo>
                    <a:pt x="5189" y="1428"/>
                  </a:lnTo>
                  <a:lnTo>
                    <a:pt x="5237" y="1428"/>
                  </a:lnTo>
                  <a:lnTo>
                    <a:pt x="5237" y="1428"/>
                  </a:lnTo>
                  <a:lnTo>
                    <a:pt x="5237" y="1428"/>
                  </a:lnTo>
                  <a:lnTo>
                    <a:pt x="5279" y="1428"/>
                  </a:lnTo>
                  <a:lnTo>
                    <a:pt x="5279" y="1422"/>
                  </a:lnTo>
                  <a:lnTo>
                    <a:pt x="5279" y="1428"/>
                  </a:lnTo>
                  <a:lnTo>
                    <a:pt x="5320" y="1428"/>
                  </a:lnTo>
                  <a:lnTo>
                    <a:pt x="5320" y="1428"/>
                  </a:lnTo>
                  <a:lnTo>
                    <a:pt x="5320" y="1428"/>
                  </a:lnTo>
                  <a:lnTo>
                    <a:pt x="5362" y="1428"/>
                  </a:lnTo>
                  <a:lnTo>
                    <a:pt x="5362" y="1380"/>
                  </a:lnTo>
                  <a:lnTo>
                    <a:pt x="5362" y="1428"/>
                  </a:lnTo>
                  <a:lnTo>
                    <a:pt x="5404" y="1428"/>
                  </a:lnTo>
                  <a:lnTo>
                    <a:pt x="5404" y="1422"/>
                  </a:lnTo>
                  <a:lnTo>
                    <a:pt x="5404" y="1428"/>
                  </a:lnTo>
                  <a:lnTo>
                    <a:pt x="5428" y="1428"/>
                  </a:lnTo>
                  <a:lnTo>
                    <a:pt x="5428" y="1428"/>
                  </a:lnTo>
                  <a:lnTo>
                    <a:pt x="5428" y="1428"/>
                  </a:lnTo>
                  <a:lnTo>
                    <a:pt x="5452" y="1428"/>
                  </a:lnTo>
                  <a:lnTo>
                    <a:pt x="5452" y="1380"/>
                  </a:lnTo>
                  <a:lnTo>
                    <a:pt x="5452" y="1428"/>
                  </a:lnTo>
                  <a:lnTo>
                    <a:pt x="5493" y="1428"/>
                  </a:lnTo>
                  <a:lnTo>
                    <a:pt x="5493" y="1428"/>
                  </a:lnTo>
                  <a:lnTo>
                    <a:pt x="5493" y="1428"/>
                  </a:lnTo>
                  <a:lnTo>
                    <a:pt x="5535" y="1428"/>
                  </a:lnTo>
                  <a:lnTo>
                    <a:pt x="5535" y="1428"/>
                  </a:lnTo>
                  <a:lnTo>
                    <a:pt x="5535" y="1428"/>
                  </a:lnTo>
                  <a:lnTo>
                    <a:pt x="5577" y="1428"/>
                  </a:lnTo>
                  <a:lnTo>
                    <a:pt x="5577" y="1428"/>
                  </a:lnTo>
                  <a:lnTo>
                    <a:pt x="5577" y="1428"/>
                  </a:lnTo>
                  <a:lnTo>
                    <a:pt x="5619" y="1428"/>
                  </a:lnTo>
                  <a:lnTo>
                    <a:pt x="5619" y="1428"/>
                  </a:lnTo>
                  <a:lnTo>
                    <a:pt x="5619" y="1428"/>
                  </a:lnTo>
                  <a:lnTo>
                    <a:pt x="5786" y="1428"/>
                  </a:lnTo>
                  <a:lnTo>
                    <a:pt x="5786" y="1428"/>
                  </a:lnTo>
                  <a:lnTo>
                    <a:pt x="5786" y="1428"/>
                  </a:lnTo>
                  <a:lnTo>
                    <a:pt x="5833" y="1428"/>
                  </a:lnTo>
                  <a:lnTo>
                    <a:pt x="5833" y="1428"/>
                  </a:lnTo>
                  <a:lnTo>
                    <a:pt x="5833" y="1428"/>
                  </a:lnTo>
                  <a:lnTo>
                    <a:pt x="5869" y="1428"/>
                  </a:lnTo>
                  <a:lnTo>
                    <a:pt x="5869" y="1428"/>
                  </a:lnTo>
                  <a:lnTo>
                    <a:pt x="5869" y="1428"/>
                  </a:lnTo>
                  <a:lnTo>
                    <a:pt x="5875" y="1428"/>
                  </a:lnTo>
                  <a:lnTo>
                    <a:pt x="5875" y="1416"/>
                  </a:lnTo>
                  <a:lnTo>
                    <a:pt x="5875" y="1428"/>
                  </a:lnTo>
                  <a:lnTo>
                    <a:pt x="5911" y="1428"/>
                  </a:lnTo>
                  <a:lnTo>
                    <a:pt x="5911" y="1428"/>
                  </a:lnTo>
                  <a:lnTo>
                    <a:pt x="5911" y="1428"/>
                  </a:lnTo>
                  <a:lnTo>
                    <a:pt x="5917" y="1428"/>
                  </a:lnTo>
                  <a:lnTo>
                    <a:pt x="5917" y="1428"/>
                  </a:lnTo>
                  <a:lnTo>
                    <a:pt x="5917" y="1428"/>
                  </a:lnTo>
                  <a:lnTo>
                    <a:pt x="5959" y="1428"/>
                  </a:lnTo>
                  <a:lnTo>
                    <a:pt x="5959" y="1356"/>
                  </a:lnTo>
                  <a:lnTo>
                    <a:pt x="5959" y="1428"/>
                  </a:lnTo>
                  <a:lnTo>
                    <a:pt x="6000" y="1428"/>
                  </a:lnTo>
                  <a:lnTo>
                    <a:pt x="6000" y="1416"/>
                  </a:lnTo>
                  <a:lnTo>
                    <a:pt x="6000" y="1428"/>
                  </a:lnTo>
                  <a:lnTo>
                    <a:pt x="6036" y="1428"/>
                  </a:lnTo>
                  <a:lnTo>
                    <a:pt x="6036" y="1428"/>
                  </a:lnTo>
                  <a:lnTo>
                    <a:pt x="6036" y="1428"/>
                  </a:lnTo>
                  <a:lnTo>
                    <a:pt x="6048" y="1428"/>
                  </a:lnTo>
                  <a:lnTo>
                    <a:pt x="6048" y="1200"/>
                  </a:lnTo>
                  <a:lnTo>
                    <a:pt x="6048" y="1428"/>
                  </a:lnTo>
                  <a:lnTo>
                    <a:pt x="6090" y="1428"/>
                  </a:lnTo>
                  <a:lnTo>
                    <a:pt x="6090" y="1386"/>
                  </a:lnTo>
                  <a:lnTo>
                    <a:pt x="6090" y="1428"/>
                  </a:lnTo>
                  <a:lnTo>
                    <a:pt x="6126" y="1428"/>
                  </a:lnTo>
                  <a:lnTo>
                    <a:pt x="6126" y="1398"/>
                  </a:lnTo>
                  <a:lnTo>
                    <a:pt x="6126" y="1428"/>
                  </a:lnTo>
                  <a:lnTo>
                    <a:pt x="6132" y="1428"/>
                  </a:lnTo>
                  <a:lnTo>
                    <a:pt x="6132" y="1428"/>
                  </a:lnTo>
                  <a:lnTo>
                    <a:pt x="6132" y="1428"/>
                  </a:lnTo>
                  <a:lnTo>
                    <a:pt x="6167" y="1428"/>
                  </a:lnTo>
                  <a:lnTo>
                    <a:pt x="6167" y="1422"/>
                  </a:lnTo>
                  <a:lnTo>
                    <a:pt x="6167" y="1428"/>
                  </a:lnTo>
                  <a:lnTo>
                    <a:pt x="6209" y="1428"/>
                  </a:lnTo>
                  <a:lnTo>
                    <a:pt x="6209" y="1422"/>
                  </a:lnTo>
                  <a:lnTo>
                    <a:pt x="6209" y="1428"/>
                  </a:lnTo>
                  <a:lnTo>
                    <a:pt x="6215" y="1428"/>
                  </a:lnTo>
                  <a:lnTo>
                    <a:pt x="6215" y="1428"/>
                  </a:lnTo>
                  <a:lnTo>
                    <a:pt x="6215" y="1428"/>
                  </a:lnTo>
                  <a:lnTo>
                    <a:pt x="6293" y="1428"/>
                  </a:lnTo>
                  <a:lnTo>
                    <a:pt x="6293" y="1428"/>
                  </a:lnTo>
                  <a:lnTo>
                    <a:pt x="6293" y="1428"/>
                  </a:lnTo>
                  <a:lnTo>
                    <a:pt x="6382" y="1428"/>
                  </a:lnTo>
                  <a:lnTo>
                    <a:pt x="6382" y="1428"/>
                  </a:lnTo>
                  <a:lnTo>
                    <a:pt x="6382" y="1428"/>
                  </a:lnTo>
                  <a:lnTo>
                    <a:pt x="6424" y="1428"/>
                  </a:lnTo>
                  <a:lnTo>
                    <a:pt x="6424" y="1428"/>
                  </a:lnTo>
                  <a:lnTo>
                    <a:pt x="6424" y="1428"/>
                  </a:lnTo>
                  <a:lnTo>
                    <a:pt x="6442" y="1428"/>
                  </a:lnTo>
                </a:path>
              </a:pathLst>
            </a:custGeom>
            <a:noFill/>
            <a:ln w="9525" cap="flat">
              <a:solidFill>
                <a:srgbClr val="0000FF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="" xmlns:a16="http://schemas.microsoft.com/office/drawing/2014/main" id="{00000000-0008-0000-2200-00000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3" y="1611"/>
              <a:ext cx="268" cy="11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95.0830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="" xmlns:a16="http://schemas.microsoft.com/office/drawing/2014/main" id="{00000000-0008-0000-2200-00000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2" y="1779"/>
              <a:ext cx="396" cy="10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107.0842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="" xmlns:a16="http://schemas.microsoft.com/office/drawing/2014/main" id="{00000000-0008-0000-2200-00000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38" y="1791"/>
              <a:ext cx="448" cy="126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121.0992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="" xmlns:a16="http://schemas.microsoft.com/office/drawing/2014/main" id="{00000000-0008-0000-2200-00000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8" y="591"/>
              <a:ext cx="447" cy="11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137.1301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="" xmlns:a16="http://schemas.microsoft.com/office/drawing/2014/main" id="{00000000-0008-0000-22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798" y="1761"/>
              <a:ext cx="430" cy="11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153.1242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="" xmlns:a16="http://schemas.microsoft.com/office/drawing/2014/main" id="{00000000-0008-0000-2200-00000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53" y="1701"/>
              <a:ext cx="486" cy="12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166.1206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="" xmlns:a16="http://schemas.microsoft.com/office/drawing/2014/main" id="{00000000-0008-0000-2200-00001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08" y="1851"/>
              <a:ext cx="403" cy="11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179.1476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="" xmlns:a16="http://schemas.microsoft.com/office/drawing/2014/main" id="{00000000-0008-0000-2200-00001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415" y="1053"/>
              <a:ext cx="453" cy="10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191.1769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="" xmlns:a16="http://schemas.microsoft.com/office/drawing/2014/main" id="{00000000-0008-0000-2200-00001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01" y="1971"/>
              <a:ext cx="400" cy="1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207.2024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="" xmlns:a16="http://schemas.microsoft.com/office/drawing/2014/main" id="{00000000-0008-0000-2200-00001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697" y="1791"/>
              <a:ext cx="376" cy="9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221.2236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="" xmlns:a16="http://schemas.microsoft.com/office/drawing/2014/main" id="{00000000-0008-0000-2200-00001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205" y="471"/>
              <a:ext cx="6454" cy="1632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1" name="Freeform 20">
              <a:extLst>
                <a:ext uri="{FF2B5EF4-FFF2-40B4-BE49-F238E27FC236}">
                  <a16:creationId xmlns="" xmlns:a16="http://schemas.microsoft.com/office/drawing/2014/main" id="{00000000-0008-0000-2200-000015000000}"/>
                </a:ext>
              </a:extLst>
            </xdr:cNvPr>
            <xdr:cNvSpPr>
              <a:spLocks/>
            </xdr:cNvSpPr>
          </xdr:nvSpPr>
          <xdr:spPr bwMode="auto">
            <a:xfrm>
              <a:off x="-166" y="2292"/>
              <a:ext cx="6400" cy="1434"/>
            </a:xfrm>
            <a:custGeom>
              <a:avLst/>
              <a:gdLst>
                <a:gd name="T0" fmla="*/ 83 w 6400"/>
                <a:gd name="T1" fmla="*/ 1434 h 1434"/>
                <a:gd name="T2" fmla="*/ 131 w 6400"/>
                <a:gd name="T3" fmla="*/ 972 h 1434"/>
                <a:gd name="T4" fmla="*/ 155 w 6400"/>
                <a:gd name="T5" fmla="*/ 1434 h 1434"/>
                <a:gd name="T6" fmla="*/ 256 w 6400"/>
                <a:gd name="T7" fmla="*/ 1428 h 1434"/>
                <a:gd name="T8" fmla="*/ 513 w 6400"/>
                <a:gd name="T9" fmla="*/ 1434 h 1434"/>
                <a:gd name="T10" fmla="*/ 644 w 6400"/>
                <a:gd name="T11" fmla="*/ 1230 h 1434"/>
                <a:gd name="T12" fmla="*/ 686 w 6400"/>
                <a:gd name="T13" fmla="*/ 1110 h 1434"/>
                <a:gd name="T14" fmla="*/ 728 w 6400"/>
                <a:gd name="T15" fmla="*/ 1284 h 1434"/>
                <a:gd name="T16" fmla="*/ 769 w 6400"/>
                <a:gd name="T17" fmla="*/ 1416 h 1434"/>
                <a:gd name="T18" fmla="*/ 895 w 6400"/>
                <a:gd name="T19" fmla="*/ 1434 h 1434"/>
                <a:gd name="T20" fmla="*/ 1151 w 6400"/>
                <a:gd name="T21" fmla="*/ 1404 h 1434"/>
                <a:gd name="T22" fmla="*/ 1241 w 6400"/>
                <a:gd name="T23" fmla="*/ 1266 h 1434"/>
                <a:gd name="T24" fmla="*/ 1306 w 6400"/>
                <a:gd name="T25" fmla="*/ 1434 h 1434"/>
                <a:gd name="T26" fmla="*/ 1408 w 6400"/>
                <a:gd name="T27" fmla="*/ 1416 h 1434"/>
                <a:gd name="T28" fmla="*/ 1581 w 6400"/>
                <a:gd name="T29" fmla="*/ 1434 h 1434"/>
                <a:gd name="T30" fmla="*/ 1789 w 6400"/>
                <a:gd name="T31" fmla="*/ 1398 h 1434"/>
                <a:gd name="T32" fmla="*/ 1861 w 6400"/>
                <a:gd name="T33" fmla="*/ 1434 h 1434"/>
                <a:gd name="T34" fmla="*/ 1920 w 6400"/>
                <a:gd name="T35" fmla="*/ 1350 h 1434"/>
                <a:gd name="T36" fmla="*/ 2046 w 6400"/>
                <a:gd name="T37" fmla="*/ 1434 h 1434"/>
                <a:gd name="T38" fmla="*/ 2272 w 6400"/>
                <a:gd name="T39" fmla="*/ 1434 h 1434"/>
                <a:gd name="T40" fmla="*/ 2386 w 6400"/>
                <a:gd name="T41" fmla="*/ 1392 h 1434"/>
                <a:gd name="T42" fmla="*/ 2445 w 6400"/>
                <a:gd name="T43" fmla="*/ 1434 h 1434"/>
                <a:gd name="T44" fmla="*/ 2481 w 6400"/>
                <a:gd name="T45" fmla="*/ 1434 h 1434"/>
                <a:gd name="T46" fmla="*/ 2517 w 6400"/>
                <a:gd name="T47" fmla="*/ 0 h 1434"/>
                <a:gd name="T48" fmla="*/ 2559 w 6400"/>
                <a:gd name="T49" fmla="*/ 1296 h 1434"/>
                <a:gd name="T50" fmla="*/ 2600 w 6400"/>
                <a:gd name="T51" fmla="*/ 1410 h 1434"/>
                <a:gd name="T52" fmla="*/ 2684 w 6400"/>
                <a:gd name="T53" fmla="*/ 1434 h 1434"/>
                <a:gd name="T54" fmla="*/ 2893 w 6400"/>
                <a:gd name="T55" fmla="*/ 1434 h 1434"/>
                <a:gd name="T56" fmla="*/ 3024 w 6400"/>
                <a:gd name="T57" fmla="*/ 1392 h 1434"/>
                <a:gd name="T58" fmla="*/ 3107 w 6400"/>
                <a:gd name="T59" fmla="*/ 1326 h 1434"/>
                <a:gd name="T60" fmla="*/ 3197 w 6400"/>
                <a:gd name="T61" fmla="*/ 1194 h 1434"/>
                <a:gd name="T62" fmla="*/ 3280 w 6400"/>
                <a:gd name="T63" fmla="*/ 1410 h 1434"/>
                <a:gd name="T64" fmla="*/ 3364 w 6400"/>
                <a:gd name="T65" fmla="*/ 1434 h 1434"/>
                <a:gd name="T66" fmla="*/ 3537 w 6400"/>
                <a:gd name="T67" fmla="*/ 1416 h 1434"/>
                <a:gd name="T68" fmla="*/ 3662 w 6400"/>
                <a:gd name="T69" fmla="*/ 1422 h 1434"/>
                <a:gd name="T70" fmla="*/ 3746 w 6400"/>
                <a:gd name="T71" fmla="*/ 1146 h 1434"/>
                <a:gd name="T72" fmla="*/ 3793 w 6400"/>
                <a:gd name="T73" fmla="*/ 1434 h 1434"/>
                <a:gd name="T74" fmla="*/ 3841 w 6400"/>
                <a:gd name="T75" fmla="*/ 1434 h 1434"/>
                <a:gd name="T76" fmla="*/ 3919 w 6400"/>
                <a:gd name="T77" fmla="*/ 1434 h 1434"/>
                <a:gd name="T78" fmla="*/ 4044 w 6400"/>
                <a:gd name="T79" fmla="*/ 1434 h 1434"/>
                <a:gd name="T80" fmla="*/ 4175 w 6400"/>
                <a:gd name="T81" fmla="*/ 1434 h 1434"/>
                <a:gd name="T82" fmla="*/ 4300 w 6400"/>
                <a:gd name="T83" fmla="*/ 1296 h 1434"/>
                <a:gd name="T84" fmla="*/ 4384 w 6400"/>
                <a:gd name="T85" fmla="*/ 1428 h 1434"/>
                <a:gd name="T86" fmla="*/ 4509 w 6400"/>
                <a:gd name="T87" fmla="*/ 1428 h 1434"/>
                <a:gd name="T88" fmla="*/ 4640 w 6400"/>
                <a:gd name="T89" fmla="*/ 1434 h 1434"/>
                <a:gd name="T90" fmla="*/ 4765 w 6400"/>
                <a:gd name="T91" fmla="*/ 1434 h 1434"/>
                <a:gd name="T92" fmla="*/ 4813 w 6400"/>
                <a:gd name="T93" fmla="*/ 582 h 1434"/>
                <a:gd name="T94" fmla="*/ 4855 w 6400"/>
                <a:gd name="T95" fmla="*/ 1320 h 1434"/>
                <a:gd name="T96" fmla="*/ 4897 w 6400"/>
                <a:gd name="T97" fmla="*/ 1038 h 1434"/>
                <a:gd name="T98" fmla="*/ 4938 w 6400"/>
                <a:gd name="T99" fmla="*/ 1392 h 1434"/>
                <a:gd name="T100" fmla="*/ 5064 w 6400"/>
                <a:gd name="T101" fmla="*/ 1422 h 1434"/>
                <a:gd name="T102" fmla="*/ 5189 w 6400"/>
                <a:gd name="T103" fmla="*/ 1434 h 1434"/>
                <a:gd name="T104" fmla="*/ 5362 w 6400"/>
                <a:gd name="T105" fmla="*/ 1434 h 1434"/>
                <a:gd name="T106" fmla="*/ 5451 w 6400"/>
                <a:gd name="T107" fmla="*/ 1428 h 1434"/>
                <a:gd name="T108" fmla="*/ 5535 w 6400"/>
                <a:gd name="T109" fmla="*/ 1428 h 1434"/>
                <a:gd name="T110" fmla="*/ 5660 w 6400"/>
                <a:gd name="T111" fmla="*/ 1434 h 1434"/>
                <a:gd name="T112" fmla="*/ 5958 w 6400"/>
                <a:gd name="T113" fmla="*/ 1428 h 1434"/>
                <a:gd name="T114" fmla="*/ 6084 w 6400"/>
                <a:gd name="T115" fmla="*/ 1422 h 1434"/>
                <a:gd name="T116" fmla="*/ 6125 w 6400"/>
                <a:gd name="T117" fmla="*/ 1428 h 1434"/>
                <a:gd name="T118" fmla="*/ 6173 w 6400"/>
                <a:gd name="T119" fmla="*/ 1434 h 1434"/>
                <a:gd name="T120" fmla="*/ 6251 w 6400"/>
                <a:gd name="T121" fmla="*/ 1434 h 143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</a:cxnLst>
              <a:rect l="0" t="0" r="r" b="b"/>
              <a:pathLst>
                <a:path w="6400" h="1434">
                  <a:moveTo>
                    <a:pt x="0" y="1434"/>
                  </a:moveTo>
                  <a:lnTo>
                    <a:pt x="6" y="1434"/>
                  </a:lnTo>
                  <a:lnTo>
                    <a:pt x="6" y="1434"/>
                  </a:lnTo>
                  <a:lnTo>
                    <a:pt x="6" y="1434"/>
                  </a:lnTo>
                  <a:lnTo>
                    <a:pt x="48" y="1434"/>
                  </a:lnTo>
                  <a:lnTo>
                    <a:pt x="48" y="1380"/>
                  </a:lnTo>
                  <a:lnTo>
                    <a:pt x="48" y="1434"/>
                  </a:lnTo>
                  <a:lnTo>
                    <a:pt x="83" y="1434"/>
                  </a:lnTo>
                  <a:lnTo>
                    <a:pt x="83" y="1434"/>
                  </a:lnTo>
                  <a:lnTo>
                    <a:pt x="83" y="1434"/>
                  </a:lnTo>
                  <a:lnTo>
                    <a:pt x="89" y="1434"/>
                  </a:lnTo>
                  <a:lnTo>
                    <a:pt x="89" y="1218"/>
                  </a:lnTo>
                  <a:lnTo>
                    <a:pt x="89" y="1434"/>
                  </a:lnTo>
                  <a:lnTo>
                    <a:pt x="113" y="1434"/>
                  </a:lnTo>
                  <a:lnTo>
                    <a:pt x="113" y="1434"/>
                  </a:lnTo>
                  <a:lnTo>
                    <a:pt x="113" y="1434"/>
                  </a:lnTo>
                  <a:lnTo>
                    <a:pt x="131" y="1434"/>
                  </a:lnTo>
                  <a:lnTo>
                    <a:pt x="131" y="972"/>
                  </a:lnTo>
                  <a:lnTo>
                    <a:pt x="131" y="1434"/>
                  </a:lnTo>
                  <a:lnTo>
                    <a:pt x="137" y="1434"/>
                  </a:lnTo>
                  <a:lnTo>
                    <a:pt x="137" y="1434"/>
                  </a:lnTo>
                  <a:lnTo>
                    <a:pt x="137" y="1434"/>
                  </a:lnTo>
                  <a:lnTo>
                    <a:pt x="143" y="1434"/>
                  </a:lnTo>
                  <a:lnTo>
                    <a:pt x="143" y="1434"/>
                  </a:lnTo>
                  <a:lnTo>
                    <a:pt x="143" y="1434"/>
                  </a:lnTo>
                  <a:lnTo>
                    <a:pt x="155" y="1434"/>
                  </a:lnTo>
                  <a:lnTo>
                    <a:pt x="155" y="1434"/>
                  </a:lnTo>
                  <a:lnTo>
                    <a:pt x="155" y="1434"/>
                  </a:lnTo>
                  <a:lnTo>
                    <a:pt x="173" y="1434"/>
                  </a:lnTo>
                  <a:lnTo>
                    <a:pt x="173" y="1404"/>
                  </a:lnTo>
                  <a:lnTo>
                    <a:pt x="173" y="1434"/>
                  </a:lnTo>
                  <a:lnTo>
                    <a:pt x="221" y="1434"/>
                  </a:lnTo>
                  <a:lnTo>
                    <a:pt x="221" y="1422"/>
                  </a:lnTo>
                  <a:lnTo>
                    <a:pt x="221" y="1434"/>
                  </a:lnTo>
                  <a:lnTo>
                    <a:pt x="256" y="1434"/>
                  </a:lnTo>
                  <a:lnTo>
                    <a:pt x="256" y="1428"/>
                  </a:lnTo>
                  <a:lnTo>
                    <a:pt x="256" y="1434"/>
                  </a:lnTo>
                  <a:lnTo>
                    <a:pt x="346" y="1434"/>
                  </a:lnTo>
                  <a:lnTo>
                    <a:pt x="346" y="1434"/>
                  </a:lnTo>
                  <a:lnTo>
                    <a:pt x="346" y="1434"/>
                  </a:lnTo>
                  <a:lnTo>
                    <a:pt x="388" y="1434"/>
                  </a:lnTo>
                  <a:lnTo>
                    <a:pt x="388" y="1434"/>
                  </a:lnTo>
                  <a:lnTo>
                    <a:pt x="388" y="1434"/>
                  </a:lnTo>
                  <a:lnTo>
                    <a:pt x="513" y="1434"/>
                  </a:lnTo>
                  <a:lnTo>
                    <a:pt x="513" y="1434"/>
                  </a:lnTo>
                  <a:lnTo>
                    <a:pt x="513" y="1434"/>
                  </a:lnTo>
                  <a:lnTo>
                    <a:pt x="555" y="1434"/>
                  </a:lnTo>
                  <a:lnTo>
                    <a:pt x="555" y="1428"/>
                  </a:lnTo>
                  <a:lnTo>
                    <a:pt x="555" y="1434"/>
                  </a:lnTo>
                  <a:lnTo>
                    <a:pt x="596" y="1434"/>
                  </a:lnTo>
                  <a:lnTo>
                    <a:pt x="596" y="1380"/>
                  </a:lnTo>
                  <a:lnTo>
                    <a:pt x="596" y="1434"/>
                  </a:lnTo>
                  <a:lnTo>
                    <a:pt x="644" y="1434"/>
                  </a:lnTo>
                  <a:lnTo>
                    <a:pt x="644" y="1230"/>
                  </a:lnTo>
                  <a:lnTo>
                    <a:pt x="644" y="1434"/>
                  </a:lnTo>
                  <a:lnTo>
                    <a:pt x="650" y="1434"/>
                  </a:lnTo>
                  <a:lnTo>
                    <a:pt x="650" y="1434"/>
                  </a:lnTo>
                  <a:lnTo>
                    <a:pt x="650" y="1434"/>
                  </a:lnTo>
                  <a:lnTo>
                    <a:pt x="680" y="1434"/>
                  </a:lnTo>
                  <a:lnTo>
                    <a:pt x="680" y="1434"/>
                  </a:lnTo>
                  <a:lnTo>
                    <a:pt x="680" y="1434"/>
                  </a:lnTo>
                  <a:lnTo>
                    <a:pt x="686" y="1434"/>
                  </a:lnTo>
                  <a:lnTo>
                    <a:pt x="686" y="1110"/>
                  </a:lnTo>
                  <a:lnTo>
                    <a:pt x="686" y="1434"/>
                  </a:lnTo>
                  <a:lnTo>
                    <a:pt x="692" y="1434"/>
                  </a:lnTo>
                  <a:lnTo>
                    <a:pt x="692" y="1434"/>
                  </a:lnTo>
                  <a:lnTo>
                    <a:pt x="692" y="1434"/>
                  </a:lnTo>
                  <a:lnTo>
                    <a:pt x="710" y="1434"/>
                  </a:lnTo>
                  <a:lnTo>
                    <a:pt x="710" y="1434"/>
                  </a:lnTo>
                  <a:lnTo>
                    <a:pt x="710" y="1434"/>
                  </a:lnTo>
                  <a:lnTo>
                    <a:pt x="728" y="1434"/>
                  </a:lnTo>
                  <a:lnTo>
                    <a:pt x="728" y="1284"/>
                  </a:lnTo>
                  <a:lnTo>
                    <a:pt x="728" y="1434"/>
                  </a:lnTo>
                  <a:lnTo>
                    <a:pt x="740" y="1434"/>
                  </a:lnTo>
                  <a:lnTo>
                    <a:pt x="740" y="1434"/>
                  </a:lnTo>
                  <a:lnTo>
                    <a:pt x="740" y="1434"/>
                  </a:lnTo>
                  <a:lnTo>
                    <a:pt x="746" y="1434"/>
                  </a:lnTo>
                  <a:lnTo>
                    <a:pt x="746" y="1434"/>
                  </a:lnTo>
                  <a:lnTo>
                    <a:pt x="746" y="1434"/>
                  </a:lnTo>
                  <a:lnTo>
                    <a:pt x="769" y="1434"/>
                  </a:lnTo>
                  <a:lnTo>
                    <a:pt x="769" y="1416"/>
                  </a:lnTo>
                  <a:lnTo>
                    <a:pt x="769" y="1434"/>
                  </a:lnTo>
                  <a:lnTo>
                    <a:pt x="811" y="1434"/>
                  </a:lnTo>
                  <a:lnTo>
                    <a:pt x="811" y="1422"/>
                  </a:lnTo>
                  <a:lnTo>
                    <a:pt x="811" y="1434"/>
                  </a:lnTo>
                  <a:lnTo>
                    <a:pt x="853" y="1434"/>
                  </a:lnTo>
                  <a:lnTo>
                    <a:pt x="853" y="1434"/>
                  </a:lnTo>
                  <a:lnTo>
                    <a:pt x="853" y="1434"/>
                  </a:lnTo>
                  <a:lnTo>
                    <a:pt x="895" y="1434"/>
                  </a:lnTo>
                  <a:lnTo>
                    <a:pt x="895" y="1434"/>
                  </a:lnTo>
                  <a:lnTo>
                    <a:pt x="895" y="1434"/>
                  </a:lnTo>
                  <a:lnTo>
                    <a:pt x="984" y="1434"/>
                  </a:lnTo>
                  <a:lnTo>
                    <a:pt x="984" y="1434"/>
                  </a:lnTo>
                  <a:lnTo>
                    <a:pt x="984" y="1434"/>
                  </a:lnTo>
                  <a:lnTo>
                    <a:pt x="1109" y="1434"/>
                  </a:lnTo>
                  <a:lnTo>
                    <a:pt x="1109" y="1434"/>
                  </a:lnTo>
                  <a:lnTo>
                    <a:pt x="1109" y="1434"/>
                  </a:lnTo>
                  <a:lnTo>
                    <a:pt x="1151" y="1434"/>
                  </a:lnTo>
                  <a:lnTo>
                    <a:pt x="1151" y="1404"/>
                  </a:lnTo>
                  <a:lnTo>
                    <a:pt x="1151" y="1434"/>
                  </a:lnTo>
                  <a:lnTo>
                    <a:pt x="1193" y="1434"/>
                  </a:lnTo>
                  <a:lnTo>
                    <a:pt x="1193" y="1356"/>
                  </a:lnTo>
                  <a:lnTo>
                    <a:pt x="1193" y="1434"/>
                  </a:lnTo>
                  <a:lnTo>
                    <a:pt x="1235" y="1434"/>
                  </a:lnTo>
                  <a:lnTo>
                    <a:pt x="1235" y="1434"/>
                  </a:lnTo>
                  <a:lnTo>
                    <a:pt x="1235" y="1434"/>
                  </a:lnTo>
                  <a:lnTo>
                    <a:pt x="1241" y="1434"/>
                  </a:lnTo>
                  <a:lnTo>
                    <a:pt x="1241" y="1266"/>
                  </a:lnTo>
                  <a:lnTo>
                    <a:pt x="1241" y="1434"/>
                  </a:lnTo>
                  <a:lnTo>
                    <a:pt x="1247" y="1434"/>
                  </a:lnTo>
                  <a:lnTo>
                    <a:pt x="1247" y="1434"/>
                  </a:lnTo>
                  <a:lnTo>
                    <a:pt x="1247" y="1434"/>
                  </a:lnTo>
                  <a:lnTo>
                    <a:pt x="1282" y="1434"/>
                  </a:lnTo>
                  <a:lnTo>
                    <a:pt x="1282" y="1344"/>
                  </a:lnTo>
                  <a:lnTo>
                    <a:pt x="1282" y="1434"/>
                  </a:lnTo>
                  <a:lnTo>
                    <a:pt x="1306" y="1434"/>
                  </a:lnTo>
                  <a:lnTo>
                    <a:pt x="1306" y="1434"/>
                  </a:lnTo>
                  <a:lnTo>
                    <a:pt x="1306" y="1434"/>
                  </a:lnTo>
                  <a:lnTo>
                    <a:pt x="1324" y="1434"/>
                  </a:lnTo>
                  <a:lnTo>
                    <a:pt x="1324" y="1290"/>
                  </a:lnTo>
                  <a:lnTo>
                    <a:pt x="1324" y="1434"/>
                  </a:lnTo>
                  <a:lnTo>
                    <a:pt x="1366" y="1434"/>
                  </a:lnTo>
                  <a:lnTo>
                    <a:pt x="1366" y="1410"/>
                  </a:lnTo>
                  <a:lnTo>
                    <a:pt x="1366" y="1434"/>
                  </a:lnTo>
                  <a:lnTo>
                    <a:pt x="1408" y="1434"/>
                  </a:lnTo>
                  <a:lnTo>
                    <a:pt x="1408" y="1416"/>
                  </a:lnTo>
                  <a:lnTo>
                    <a:pt x="1408" y="1434"/>
                  </a:lnTo>
                  <a:lnTo>
                    <a:pt x="1449" y="1434"/>
                  </a:lnTo>
                  <a:lnTo>
                    <a:pt x="1449" y="1434"/>
                  </a:lnTo>
                  <a:lnTo>
                    <a:pt x="1449" y="1434"/>
                  </a:lnTo>
                  <a:lnTo>
                    <a:pt x="1491" y="1434"/>
                  </a:lnTo>
                  <a:lnTo>
                    <a:pt x="1491" y="1434"/>
                  </a:lnTo>
                  <a:lnTo>
                    <a:pt x="1491" y="1434"/>
                  </a:lnTo>
                  <a:lnTo>
                    <a:pt x="1581" y="1434"/>
                  </a:lnTo>
                  <a:lnTo>
                    <a:pt x="1581" y="1434"/>
                  </a:lnTo>
                  <a:lnTo>
                    <a:pt x="1581" y="1434"/>
                  </a:lnTo>
                  <a:lnTo>
                    <a:pt x="1706" y="1434"/>
                  </a:lnTo>
                  <a:lnTo>
                    <a:pt x="1706" y="1434"/>
                  </a:lnTo>
                  <a:lnTo>
                    <a:pt x="1706" y="1434"/>
                  </a:lnTo>
                  <a:lnTo>
                    <a:pt x="1748" y="1434"/>
                  </a:lnTo>
                  <a:lnTo>
                    <a:pt x="1748" y="1416"/>
                  </a:lnTo>
                  <a:lnTo>
                    <a:pt x="1748" y="1434"/>
                  </a:lnTo>
                  <a:lnTo>
                    <a:pt x="1789" y="1434"/>
                  </a:lnTo>
                  <a:lnTo>
                    <a:pt x="1789" y="1398"/>
                  </a:lnTo>
                  <a:lnTo>
                    <a:pt x="1789" y="1434"/>
                  </a:lnTo>
                  <a:lnTo>
                    <a:pt x="1831" y="1434"/>
                  </a:lnTo>
                  <a:lnTo>
                    <a:pt x="1831" y="1254"/>
                  </a:lnTo>
                  <a:lnTo>
                    <a:pt x="1831" y="1434"/>
                  </a:lnTo>
                  <a:lnTo>
                    <a:pt x="1849" y="1434"/>
                  </a:lnTo>
                  <a:lnTo>
                    <a:pt x="1849" y="1434"/>
                  </a:lnTo>
                  <a:lnTo>
                    <a:pt x="1849" y="1434"/>
                  </a:lnTo>
                  <a:lnTo>
                    <a:pt x="1861" y="1434"/>
                  </a:lnTo>
                  <a:lnTo>
                    <a:pt x="1861" y="1434"/>
                  </a:lnTo>
                  <a:lnTo>
                    <a:pt x="1861" y="1434"/>
                  </a:lnTo>
                  <a:lnTo>
                    <a:pt x="1879" y="1434"/>
                  </a:lnTo>
                  <a:lnTo>
                    <a:pt x="1879" y="1326"/>
                  </a:lnTo>
                  <a:lnTo>
                    <a:pt x="1879" y="1434"/>
                  </a:lnTo>
                  <a:lnTo>
                    <a:pt x="1885" y="1434"/>
                  </a:lnTo>
                  <a:lnTo>
                    <a:pt x="1885" y="1434"/>
                  </a:lnTo>
                  <a:lnTo>
                    <a:pt x="1885" y="1434"/>
                  </a:lnTo>
                  <a:lnTo>
                    <a:pt x="1920" y="1434"/>
                  </a:lnTo>
                  <a:lnTo>
                    <a:pt x="1920" y="1350"/>
                  </a:lnTo>
                  <a:lnTo>
                    <a:pt x="1920" y="1434"/>
                  </a:lnTo>
                  <a:lnTo>
                    <a:pt x="1962" y="1434"/>
                  </a:lnTo>
                  <a:lnTo>
                    <a:pt x="1962" y="1410"/>
                  </a:lnTo>
                  <a:lnTo>
                    <a:pt x="1962" y="1434"/>
                  </a:lnTo>
                  <a:lnTo>
                    <a:pt x="2004" y="1434"/>
                  </a:lnTo>
                  <a:lnTo>
                    <a:pt x="2004" y="1422"/>
                  </a:lnTo>
                  <a:lnTo>
                    <a:pt x="2004" y="1434"/>
                  </a:lnTo>
                  <a:lnTo>
                    <a:pt x="2046" y="1434"/>
                  </a:lnTo>
                  <a:lnTo>
                    <a:pt x="2046" y="1434"/>
                  </a:lnTo>
                  <a:lnTo>
                    <a:pt x="2046" y="1434"/>
                  </a:lnTo>
                  <a:lnTo>
                    <a:pt x="2087" y="1434"/>
                  </a:lnTo>
                  <a:lnTo>
                    <a:pt x="2087" y="1434"/>
                  </a:lnTo>
                  <a:lnTo>
                    <a:pt x="2087" y="1434"/>
                  </a:lnTo>
                  <a:lnTo>
                    <a:pt x="2254" y="1434"/>
                  </a:lnTo>
                  <a:lnTo>
                    <a:pt x="2254" y="1428"/>
                  </a:lnTo>
                  <a:lnTo>
                    <a:pt x="2254" y="1434"/>
                  </a:lnTo>
                  <a:lnTo>
                    <a:pt x="2272" y="1434"/>
                  </a:lnTo>
                  <a:lnTo>
                    <a:pt x="2272" y="1434"/>
                  </a:lnTo>
                  <a:lnTo>
                    <a:pt x="2272" y="1434"/>
                  </a:lnTo>
                  <a:lnTo>
                    <a:pt x="2302" y="1434"/>
                  </a:lnTo>
                  <a:lnTo>
                    <a:pt x="2302" y="1434"/>
                  </a:lnTo>
                  <a:lnTo>
                    <a:pt x="2302" y="1434"/>
                  </a:lnTo>
                  <a:lnTo>
                    <a:pt x="2344" y="1434"/>
                  </a:lnTo>
                  <a:lnTo>
                    <a:pt x="2344" y="1410"/>
                  </a:lnTo>
                  <a:lnTo>
                    <a:pt x="2344" y="1434"/>
                  </a:lnTo>
                  <a:lnTo>
                    <a:pt x="2386" y="1434"/>
                  </a:lnTo>
                  <a:lnTo>
                    <a:pt x="2386" y="1392"/>
                  </a:lnTo>
                  <a:lnTo>
                    <a:pt x="2386" y="1434"/>
                  </a:lnTo>
                  <a:lnTo>
                    <a:pt x="2427" y="1434"/>
                  </a:lnTo>
                  <a:lnTo>
                    <a:pt x="2427" y="942"/>
                  </a:lnTo>
                  <a:lnTo>
                    <a:pt x="2427" y="1434"/>
                  </a:lnTo>
                  <a:lnTo>
                    <a:pt x="2439" y="1434"/>
                  </a:lnTo>
                  <a:lnTo>
                    <a:pt x="2439" y="1434"/>
                  </a:lnTo>
                  <a:lnTo>
                    <a:pt x="2439" y="1434"/>
                  </a:lnTo>
                  <a:lnTo>
                    <a:pt x="2445" y="1434"/>
                  </a:lnTo>
                  <a:lnTo>
                    <a:pt x="2445" y="1434"/>
                  </a:lnTo>
                  <a:lnTo>
                    <a:pt x="2445" y="1434"/>
                  </a:lnTo>
                  <a:lnTo>
                    <a:pt x="2451" y="1434"/>
                  </a:lnTo>
                  <a:lnTo>
                    <a:pt x="2451" y="1434"/>
                  </a:lnTo>
                  <a:lnTo>
                    <a:pt x="2451" y="1434"/>
                  </a:lnTo>
                  <a:lnTo>
                    <a:pt x="2469" y="1434"/>
                  </a:lnTo>
                  <a:lnTo>
                    <a:pt x="2469" y="1164"/>
                  </a:lnTo>
                  <a:lnTo>
                    <a:pt x="2469" y="1434"/>
                  </a:lnTo>
                  <a:lnTo>
                    <a:pt x="2481" y="1434"/>
                  </a:lnTo>
                  <a:lnTo>
                    <a:pt x="2481" y="1434"/>
                  </a:lnTo>
                  <a:lnTo>
                    <a:pt x="2481" y="1434"/>
                  </a:lnTo>
                  <a:lnTo>
                    <a:pt x="2487" y="1434"/>
                  </a:lnTo>
                  <a:lnTo>
                    <a:pt x="2487" y="1434"/>
                  </a:lnTo>
                  <a:lnTo>
                    <a:pt x="2487" y="1434"/>
                  </a:lnTo>
                  <a:lnTo>
                    <a:pt x="2505" y="1434"/>
                  </a:lnTo>
                  <a:lnTo>
                    <a:pt x="2505" y="1434"/>
                  </a:lnTo>
                  <a:lnTo>
                    <a:pt x="2505" y="1434"/>
                  </a:lnTo>
                  <a:lnTo>
                    <a:pt x="2517" y="1434"/>
                  </a:lnTo>
                  <a:lnTo>
                    <a:pt x="2517" y="0"/>
                  </a:lnTo>
                  <a:lnTo>
                    <a:pt x="2517" y="1434"/>
                  </a:lnTo>
                  <a:lnTo>
                    <a:pt x="2535" y="1434"/>
                  </a:lnTo>
                  <a:lnTo>
                    <a:pt x="2535" y="1434"/>
                  </a:lnTo>
                  <a:lnTo>
                    <a:pt x="2535" y="1434"/>
                  </a:lnTo>
                  <a:lnTo>
                    <a:pt x="2541" y="1434"/>
                  </a:lnTo>
                  <a:lnTo>
                    <a:pt x="2541" y="1434"/>
                  </a:lnTo>
                  <a:lnTo>
                    <a:pt x="2541" y="1434"/>
                  </a:lnTo>
                  <a:lnTo>
                    <a:pt x="2559" y="1434"/>
                  </a:lnTo>
                  <a:lnTo>
                    <a:pt x="2559" y="1296"/>
                  </a:lnTo>
                  <a:lnTo>
                    <a:pt x="2559" y="1434"/>
                  </a:lnTo>
                  <a:lnTo>
                    <a:pt x="2577" y="1434"/>
                  </a:lnTo>
                  <a:lnTo>
                    <a:pt x="2577" y="1434"/>
                  </a:lnTo>
                  <a:lnTo>
                    <a:pt x="2577" y="1434"/>
                  </a:lnTo>
                  <a:lnTo>
                    <a:pt x="2594" y="1434"/>
                  </a:lnTo>
                  <a:lnTo>
                    <a:pt x="2594" y="1434"/>
                  </a:lnTo>
                  <a:lnTo>
                    <a:pt x="2594" y="1434"/>
                  </a:lnTo>
                  <a:lnTo>
                    <a:pt x="2600" y="1434"/>
                  </a:lnTo>
                  <a:lnTo>
                    <a:pt x="2600" y="1410"/>
                  </a:lnTo>
                  <a:lnTo>
                    <a:pt x="2600" y="1434"/>
                  </a:lnTo>
                  <a:lnTo>
                    <a:pt x="2642" y="1434"/>
                  </a:lnTo>
                  <a:lnTo>
                    <a:pt x="2642" y="1428"/>
                  </a:lnTo>
                  <a:lnTo>
                    <a:pt x="2642" y="1434"/>
                  </a:lnTo>
                  <a:lnTo>
                    <a:pt x="2666" y="1434"/>
                  </a:lnTo>
                  <a:lnTo>
                    <a:pt x="2666" y="1434"/>
                  </a:lnTo>
                  <a:lnTo>
                    <a:pt x="2666" y="1434"/>
                  </a:lnTo>
                  <a:lnTo>
                    <a:pt x="2684" y="1434"/>
                  </a:lnTo>
                  <a:lnTo>
                    <a:pt x="2684" y="1434"/>
                  </a:lnTo>
                  <a:lnTo>
                    <a:pt x="2684" y="1434"/>
                  </a:lnTo>
                  <a:lnTo>
                    <a:pt x="2726" y="1434"/>
                  </a:lnTo>
                  <a:lnTo>
                    <a:pt x="2726" y="1434"/>
                  </a:lnTo>
                  <a:lnTo>
                    <a:pt x="2726" y="1434"/>
                  </a:lnTo>
                  <a:lnTo>
                    <a:pt x="2767" y="1434"/>
                  </a:lnTo>
                  <a:lnTo>
                    <a:pt x="2767" y="1434"/>
                  </a:lnTo>
                  <a:lnTo>
                    <a:pt x="2767" y="1434"/>
                  </a:lnTo>
                  <a:lnTo>
                    <a:pt x="2893" y="1434"/>
                  </a:lnTo>
                  <a:lnTo>
                    <a:pt x="2893" y="1434"/>
                  </a:lnTo>
                  <a:lnTo>
                    <a:pt x="2893" y="1434"/>
                  </a:lnTo>
                  <a:lnTo>
                    <a:pt x="2940" y="1434"/>
                  </a:lnTo>
                  <a:lnTo>
                    <a:pt x="2940" y="1428"/>
                  </a:lnTo>
                  <a:lnTo>
                    <a:pt x="2940" y="1434"/>
                  </a:lnTo>
                  <a:lnTo>
                    <a:pt x="2982" y="1434"/>
                  </a:lnTo>
                  <a:lnTo>
                    <a:pt x="2982" y="1422"/>
                  </a:lnTo>
                  <a:lnTo>
                    <a:pt x="2982" y="1434"/>
                  </a:lnTo>
                  <a:lnTo>
                    <a:pt x="3024" y="1434"/>
                  </a:lnTo>
                  <a:lnTo>
                    <a:pt x="3024" y="1392"/>
                  </a:lnTo>
                  <a:lnTo>
                    <a:pt x="3024" y="1434"/>
                  </a:lnTo>
                  <a:lnTo>
                    <a:pt x="3066" y="1434"/>
                  </a:lnTo>
                  <a:lnTo>
                    <a:pt x="3066" y="1404"/>
                  </a:lnTo>
                  <a:lnTo>
                    <a:pt x="3066" y="1434"/>
                  </a:lnTo>
                  <a:lnTo>
                    <a:pt x="3084" y="1434"/>
                  </a:lnTo>
                  <a:lnTo>
                    <a:pt x="3084" y="1434"/>
                  </a:lnTo>
                  <a:lnTo>
                    <a:pt x="3084" y="1434"/>
                  </a:lnTo>
                  <a:lnTo>
                    <a:pt x="3107" y="1434"/>
                  </a:lnTo>
                  <a:lnTo>
                    <a:pt x="3107" y="1326"/>
                  </a:lnTo>
                  <a:lnTo>
                    <a:pt x="3107" y="1434"/>
                  </a:lnTo>
                  <a:lnTo>
                    <a:pt x="3119" y="1434"/>
                  </a:lnTo>
                  <a:lnTo>
                    <a:pt x="3119" y="1434"/>
                  </a:lnTo>
                  <a:lnTo>
                    <a:pt x="3119" y="1434"/>
                  </a:lnTo>
                  <a:lnTo>
                    <a:pt x="3149" y="1434"/>
                  </a:lnTo>
                  <a:lnTo>
                    <a:pt x="3149" y="1386"/>
                  </a:lnTo>
                  <a:lnTo>
                    <a:pt x="3149" y="1434"/>
                  </a:lnTo>
                  <a:lnTo>
                    <a:pt x="3197" y="1434"/>
                  </a:lnTo>
                  <a:lnTo>
                    <a:pt x="3197" y="1194"/>
                  </a:lnTo>
                  <a:lnTo>
                    <a:pt x="3197" y="1434"/>
                  </a:lnTo>
                  <a:lnTo>
                    <a:pt x="3203" y="1434"/>
                  </a:lnTo>
                  <a:lnTo>
                    <a:pt x="3203" y="1434"/>
                  </a:lnTo>
                  <a:lnTo>
                    <a:pt x="3203" y="1434"/>
                  </a:lnTo>
                  <a:lnTo>
                    <a:pt x="3239" y="1434"/>
                  </a:lnTo>
                  <a:lnTo>
                    <a:pt x="3239" y="1410"/>
                  </a:lnTo>
                  <a:lnTo>
                    <a:pt x="3239" y="1434"/>
                  </a:lnTo>
                  <a:lnTo>
                    <a:pt x="3280" y="1434"/>
                  </a:lnTo>
                  <a:lnTo>
                    <a:pt x="3280" y="1410"/>
                  </a:lnTo>
                  <a:lnTo>
                    <a:pt x="3280" y="1434"/>
                  </a:lnTo>
                  <a:lnTo>
                    <a:pt x="3292" y="1434"/>
                  </a:lnTo>
                  <a:lnTo>
                    <a:pt x="3292" y="1434"/>
                  </a:lnTo>
                  <a:lnTo>
                    <a:pt x="3292" y="1434"/>
                  </a:lnTo>
                  <a:lnTo>
                    <a:pt x="3322" y="1434"/>
                  </a:lnTo>
                  <a:lnTo>
                    <a:pt x="3322" y="1434"/>
                  </a:lnTo>
                  <a:lnTo>
                    <a:pt x="3322" y="1434"/>
                  </a:lnTo>
                  <a:lnTo>
                    <a:pt x="3364" y="1434"/>
                  </a:lnTo>
                  <a:lnTo>
                    <a:pt x="3364" y="1434"/>
                  </a:lnTo>
                  <a:lnTo>
                    <a:pt x="3364" y="1434"/>
                  </a:lnTo>
                  <a:lnTo>
                    <a:pt x="3447" y="1434"/>
                  </a:lnTo>
                  <a:lnTo>
                    <a:pt x="3447" y="1434"/>
                  </a:lnTo>
                  <a:lnTo>
                    <a:pt x="3447" y="1434"/>
                  </a:lnTo>
                  <a:lnTo>
                    <a:pt x="3531" y="1434"/>
                  </a:lnTo>
                  <a:lnTo>
                    <a:pt x="3531" y="1434"/>
                  </a:lnTo>
                  <a:lnTo>
                    <a:pt x="3531" y="1434"/>
                  </a:lnTo>
                  <a:lnTo>
                    <a:pt x="3537" y="1434"/>
                  </a:lnTo>
                  <a:lnTo>
                    <a:pt x="3537" y="1416"/>
                  </a:lnTo>
                  <a:lnTo>
                    <a:pt x="3537" y="1434"/>
                  </a:lnTo>
                  <a:lnTo>
                    <a:pt x="3579" y="1434"/>
                  </a:lnTo>
                  <a:lnTo>
                    <a:pt x="3579" y="1428"/>
                  </a:lnTo>
                  <a:lnTo>
                    <a:pt x="3579" y="1434"/>
                  </a:lnTo>
                  <a:lnTo>
                    <a:pt x="3620" y="1434"/>
                  </a:lnTo>
                  <a:lnTo>
                    <a:pt x="3620" y="1416"/>
                  </a:lnTo>
                  <a:lnTo>
                    <a:pt x="3620" y="1434"/>
                  </a:lnTo>
                  <a:lnTo>
                    <a:pt x="3662" y="1434"/>
                  </a:lnTo>
                  <a:lnTo>
                    <a:pt x="3662" y="1422"/>
                  </a:lnTo>
                  <a:lnTo>
                    <a:pt x="3662" y="1434"/>
                  </a:lnTo>
                  <a:lnTo>
                    <a:pt x="3704" y="1434"/>
                  </a:lnTo>
                  <a:lnTo>
                    <a:pt x="3704" y="1404"/>
                  </a:lnTo>
                  <a:lnTo>
                    <a:pt x="3704" y="1434"/>
                  </a:lnTo>
                  <a:lnTo>
                    <a:pt x="3740" y="1434"/>
                  </a:lnTo>
                  <a:lnTo>
                    <a:pt x="3740" y="1434"/>
                  </a:lnTo>
                  <a:lnTo>
                    <a:pt x="3740" y="1434"/>
                  </a:lnTo>
                  <a:lnTo>
                    <a:pt x="3746" y="1434"/>
                  </a:lnTo>
                  <a:lnTo>
                    <a:pt x="3746" y="1146"/>
                  </a:lnTo>
                  <a:lnTo>
                    <a:pt x="3746" y="1434"/>
                  </a:lnTo>
                  <a:lnTo>
                    <a:pt x="3769" y="1434"/>
                  </a:lnTo>
                  <a:lnTo>
                    <a:pt x="3769" y="1434"/>
                  </a:lnTo>
                  <a:lnTo>
                    <a:pt x="3769" y="1434"/>
                  </a:lnTo>
                  <a:lnTo>
                    <a:pt x="3787" y="1434"/>
                  </a:lnTo>
                  <a:lnTo>
                    <a:pt x="3787" y="1368"/>
                  </a:lnTo>
                  <a:lnTo>
                    <a:pt x="3787" y="1434"/>
                  </a:lnTo>
                  <a:lnTo>
                    <a:pt x="3793" y="1434"/>
                  </a:lnTo>
                  <a:lnTo>
                    <a:pt x="3793" y="1434"/>
                  </a:lnTo>
                  <a:lnTo>
                    <a:pt x="3793" y="1434"/>
                  </a:lnTo>
                  <a:lnTo>
                    <a:pt x="3799" y="1434"/>
                  </a:lnTo>
                  <a:lnTo>
                    <a:pt x="3799" y="1434"/>
                  </a:lnTo>
                  <a:lnTo>
                    <a:pt x="3799" y="1434"/>
                  </a:lnTo>
                  <a:lnTo>
                    <a:pt x="3829" y="1434"/>
                  </a:lnTo>
                  <a:lnTo>
                    <a:pt x="3829" y="1266"/>
                  </a:lnTo>
                  <a:lnTo>
                    <a:pt x="3829" y="1434"/>
                  </a:lnTo>
                  <a:lnTo>
                    <a:pt x="3841" y="1434"/>
                  </a:lnTo>
                  <a:lnTo>
                    <a:pt x="3841" y="1434"/>
                  </a:lnTo>
                  <a:lnTo>
                    <a:pt x="3841" y="1434"/>
                  </a:lnTo>
                  <a:lnTo>
                    <a:pt x="3877" y="1434"/>
                  </a:lnTo>
                  <a:lnTo>
                    <a:pt x="3877" y="1386"/>
                  </a:lnTo>
                  <a:lnTo>
                    <a:pt x="3877" y="1434"/>
                  </a:lnTo>
                  <a:lnTo>
                    <a:pt x="3913" y="1434"/>
                  </a:lnTo>
                  <a:lnTo>
                    <a:pt x="3913" y="1434"/>
                  </a:lnTo>
                  <a:lnTo>
                    <a:pt x="3913" y="1434"/>
                  </a:lnTo>
                  <a:lnTo>
                    <a:pt x="3919" y="1434"/>
                  </a:lnTo>
                  <a:lnTo>
                    <a:pt x="3919" y="1434"/>
                  </a:lnTo>
                  <a:lnTo>
                    <a:pt x="3919" y="1434"/>
                  </a:lnTo>
                  <a:lnTo>
                    <a:pt x="3960" y="1434"/>
                  </a:lnTo>
                  <a:lnTo>
                    <a:pt x="3960" y="1434"/>
                  </a:lnTo>
                  <a:lnTo>
                    <a:pt x="3960" y="1434"/>
                  </a:lnTo>
                  <a:lnTo>
                    <a:pt x="4026" y="1434"/>
                  </a:lnTo>
                  <a:lnTo>
                    <a:pt x="4026" y="1434"/>
                  </a:lnTo>
                  <a:lnTo>
                    <a:pt x="4026" y="1434"/>
                  </a:lnTo>
                  <a:lnTo>
                    <a:pt x="4044" y="1434"/>
                  </a:lnTo>
                  <a:lnTo>
                    <a:pt x="4044" y="1434"/>
                  </a:lnTo>
                  <a:lnTo>
                    <a:pt x="4044" y="1434"/>
                  </a:lnTo>
                  <a:lnTo>
                    <a:pt x="4086" y="1434"/>
                  </a:lnTo>
                  <a:lnTo>
                    <a:pt x="4086" y="1434"/>
                  </a:lnTo>
                  <a:lnTo>
                    <a:pt x="4086" y="1434"/>
                  </a:lnTo>
                  <a:lnTo>
                    <a:pt x="4127" y="1434"/>
                  </a:lnTo>
                  <a:lnTo>
                    <a:pt x="4127" y="1434"/>
                  </a:lnTo>
                  <a:lnTo>
                    <a:pt x="4127" y="1434"/>
                  </a:lnTo>
                  <a:lnTo>
                    <a:pt x="4175" y="1434"/>
                  </a:lnTo>
                  <a:lnTo>
                    <a:pt x="4175" y="1434"/>
                  </a:lnTo>
                  <a:lnTo>
                    <a:pt x="4175" y="1434"/>
                  </a:lnTo>
                  <a:lnTo>
                    <a:pt x="4217" y="1434"/>
                  </a:lnTo>
                  <a:lnTo>
                    <a:pt x="4217" y="1386"/>
                  </a:lnTo>
                  <a:lnTo>
                    <a:pt x="4217" y="1434"/>
                  </a:lnTo>
                  <a:lnTo>
                    <a:pt x="4258" y="1434"/>
                  </a:lnTo>
                  <a:lnTo>
                    <a:pt x="4258" y="1428"/>
                  </a:lnTo>
                  <a:lnTo>
                    <a:pt x="4258" y="1434"/>
                  </a:lnTo>
                  <a:lnTo>
                    <a:pt x="4300" y="1434"/>
                  </a:lnTo>
                  <a:lnTo>
                    <a:pt x="4300" y="1296"/>
                  </a:lnTo>
                  <a:lnTo>
                    <a:pt x="4300" y="1434"/>
                  </a:lnTo>
                  <a:lnTo>
                    <a:pt x="4336" y="1434"/>
                  </a:lnTo>
                  <a:lnTo>
                    <a:pt x="4336" y="1434"/>
                  </a:lnTo>
                  <a:lnTo>
                    <a:pt x="4336" y="1434"/>
                  </a:lnTo>
                  <a:lnTo>
                    <a:pt x="4342" y="1434"/>
                  </a:lnTo>
                  <a:lnTo>
                    <a:pt x="4342" y="1422"/>
                  </a:lnTo>
                  <a:lnTo>
                    <a:pt x="4342" y="1434"/>
                  </a:lnTo>
                  <a:lnTo>
                    <a:pt x="4384" y="1434"/>
                  </a:lnTo>
                  <a:lnTo>
                    <a:pt x="4384" y="1428"/>
                  </a:lnTo>
                  <a:lnTo>
                    <a:pt x="4384" y="1434"/>
                  </a:lnTo>
                  <a:lnTo>
                    <a:pt x="4425" y="1434"/>
                  </a:lnTo>
                  <a:lnTo>
                    <a:pt x="4425" y="1422"/>
                  </a:lnTo>
                  <a:lnTo>
                    <a:pt x="4425" y="1434"/>
                  </a:lnTo>
                  <a:lnTo>
                    <a:pt x="4467" y="1434"/>
                  </a:lnTo>
                  <a:lnTo>
                    <a:pt x="4467" y="1422"/>
                  </a:lnTo>
                  <a:lnTo>
                    <a:pt x="4467" y="1434"/>
                  </a:lnTo>
                  <a:lnTo>
                    <a:pt x="4509" y="1434"/>
                  </a:lnTo>
                  <a:lnTo>
                    <a:pt x="4509" y="1428"/>
                  </a:lnTo>
                  <a:lnTo>
                    <a:pt x="4509" y="1434"/>
                  </a:lnTo>
                  <a:lnTo>
                    <a:pt x="4557" y="1434"/>
                  </a:lnTo>
                  <a:lnTo>
                    <a:pt x="4557" y="1428"/>
                  </a:lnTo>
                  <a:lnTo>
                    <a:pt x="4557" y="1434"/>
                  </a:lnTo>
                  <a:lnTo>
                    <a:pt x="4592" y="1434"/>
                  </a:lnTo>
                  <a:lnTo>
                    <a:pt x="4592" y="1434"/>
                  </a:lnTo>
                  <a:lnTo>
                    <a:pt x="4592" y="1434"/>
                  </a:lnTo>
                  <a:lnTo>
                    <a:pt x="4640" y="1434"/>
                  </a:lnTo>
                  <a:lnTo>
                    <a:pt x="4640" y="1434"/>
                  </a:lnTo>
                  <a:lnTo>
                    <a:pt x="4640" y="1434"/>
                  </a:lnTo>
                  <a:lnTo>
                    <a:pt x="4682" y="1434"/>
                  </a:lnTo>
                  <a:lnTo>
                    <a:pt x="4682" y="1434"/>
                  </a:lnTo>
                  <a:lnTo>
                    <a:pt x="4682" y="1434"/>
                  </a:lnTo>
                  <a:lnTo>
                    <a:pt x="4724" y="1434"/>
                  </a:lnTo>
                  <a:lnTo>
                    <a:pt x="4724" y="1428"/>
                  </a:lnTo>
                  <a:lnTo>
                    <a:pt x="4724" y="1434"/>
                  </a:lnTo>
                  <a:lnTo>
                    <a:pt x="4765" y="1434"/>
                  </a:lnTo>
                  <a:lnTo>
                    <a:pt x="4765" y="1434"/>
                  </a:lnTo>
                  <a:lnTo>
                    <a:pt x="4765" y="1434"/>
                  </a:lnTo>
                  <a:lnTo>
                    <a:pt x="4771" y="1434"/>
                  </a:lnTo>
                  <a:lnTo>
                    <a:pt x="4771" y="1410"/>
                  </a:lnTo>
                  <a:lnTo>
                    <a:pt x="4771" y="1434"/>
                  </a:lnTo>
                  <a:lnTo>
                    <a:pt x="4807" y="1434"/>
                  </a:lnTo>
                  <a:lnTo>
                    <a:pt x="4807" y="1428"/>
                  </a:lnTo>
                  <a:lnTo>
                    <a:pt x="4807" y="1434"/>
                  </a:lnTo>
                  <a:lnTo>
                    <a:pt x="4813" y="1434"/>
                  </a:lnTo>
                  <a:lnTo>
                    <a:pt x="4813" y="582"/>
                  </a:lnTo>
                  <a:lnTo>
                    <a:pt x="4813" y="1434"/>
                  </a:lnTo>
                  <a:lnTo>
                    <a:pt x="4837" y="1434"/>
                  </a:lnTo>
                  <a:lnTo>
                    <a:pt x="4837" y="1434"/>
                  </a:lnTo>
                  <a:lnTo>
                    <a:pt x="4837" y="1434"/>
                  </a:lnTo>
                  <a:lnTo>
                    <a:pt x="4843" y="1434"/>
                  </a:lnTo>
                  <a:lnTo>
                    <a:pt x="4843" y="1434"/>
                  </a:lnTo>
                  <a:lnTo>
                    <a:pt x="4843" y="1434"/>
                  </a:lnTo>
                  <a:lnTo>
                    <a:pt x="4855" y="1434"/>
                  </a:lnTo>
                  <a:lnTo>
                    <a:pt x="4855" y="1320"/>
                  </a:lnTo>
                  <a:lnTo>
                    <a:pt x="4855" y="1434"/>
                  </a:lnTo>
                  <a:lnTo>
                    <a:pt x="4867" y="1434"/>
                  </a:lnTo>
                  <a:lnTo>
                    <a:pt x="4867" y="1434"/>
                  </a:lnTo>
                  <a:lnTo>
                    <a:pt x="4867" y="1434"/>
                  </a:lnTo>
                  <a:lnTo>
                    <a:pt x="4891" y="1434"/>
                  </a:lnTo>
                  <a:lnTo>
                    <a:pt x="4891" y="1434"/>
                  </a:lnTo>
                  <a:lnTo>
                    <a:pt x="4891" y="1434"/>
                  </a:lnTo>
                  <a:lnTo>
                    <a:pt x="4897" y="1434"/>
                  </a:lnTo>
                  <a:lnTo>
                    <a:pt x="4897" y="1038"/>
                  </a:lnTo>
                  <a:lnTo>
                    <a:pt x="4897" y="1434"/>
                  </a:lnTo>
                  <a:lnTo>
                    <a:pt x="4909" y="1434"/>
                  </a:lnTo>
                  <a:lnTo>
                    <a:pt x="4909" y="1434"/>
                  </a:lnTo>
                  <a:lnTo>
                    <a:pt x="4909" y="1434"/>
                  </a:lnTo>
                  <a:lnTo>
                    <a:pt x="4932" y="1434"/>
                  </a:lnTo>
                  <a:lnTo>
                    <a:pt x="4932" y="1434"/>
                  </a:lnTo>
                  <a:lnTo>
                    <a:pt x="4932" y="1434"/>
                  </a:lnTo>
                  <a:lnTo>
                    <a:pt x="4938" y="1434"/>
                  </a:lnTo>
                  <a:lnTo>
                    <a:pt x="4938" y="1392"/>
                  </a:lnTo>
                  <a:lnTo>
                    <a:pt x="4938" y="1434"/>
                  </a:lnTo>
                  <a:lnTo>
                    <a:pt x="4974" y="1434"/>
                  </a:lnTo>
                  <a:lnTo>
                    <a:pt x="4974" y="1434"/>
                  </a:lnTo>
                  <a:lnTo>
                    <a:pt x="4974" y="1434"/>
                  </a:lnTo>
                  <a:lnTo>
                    <a:pt x="4980" y="1434"/>
                  </a:lnTo>
                  <a:lnTo>
                    <a:pt x="4980" y="1434"/>
                  </a:lnTo>
                  <a:lnTo>
                    <a:pt x="4980" y="1434"/>
                  </a:lnTo>
                  <a:lnTo>
                    <a:pt x="5064" y="1434"/>
                  </a:lnTo>
                  <a:lnTo>
                    <a:pt x="5064" y="1422"/>
                  </a:lnTo>
                  <a:lnTo>
                    <a:pt x="5064" y="1434"/>
                  </a:lnTo>
                  <a:lnTo>
                    <a:pt x="5105" y="1434"/>
                  </a:lnTo>
                  <a:lnTo>
                    <a:pt x="5105" y="1422"/>
                  </a:lnTo>
                  <a:lnTo>
                    <a:pt x="5105" y="1434"/>
                  </a:lnTo>
                  <a:lnTo>
                    <a:pt x="5147" y="1434"/>
                  </a:lnTo>
                  <a:lnTo>
                    <a:pt x="5147" y="1428"/>
                  </a:lnTo>
                  <a:lnTo>
                    <a:pt x="5147" y="1434"/>
                  </a:lnTo>
                  <a:lnTo>
                    <a:pt x="5189" y="1434"/>
                  </a:lnTo>
                  <a:lnTo>
                    <a:pt x="5189" y="1434"/>
                  </a:lnTo>
                  <a:lnTo>
                    <a:pt x="5189" y="1434"/>
                  </a:lnTo>
                  <a:lnTo>
                    <a:pt x="5237" y="1434"/>
                  </a:lnTo>
                  <a:lnTo>
                    <a:pt x="5237" y="1434"/>
                  </a:lnTo>
                  <a:lnTo>
                    <a:pt x="5237" y="1434"/>
                  </a:lnTo>
                  <a:lnTo>
                    <a:pt x="5320" y="1434"/>
                  </a:lnTo>
                  <a:lnTo>
                    <a:pt x="5320" y="1434"/>
                  </a:lnTo>
                  <a:lnTo>
                    <a:pt x="5320" y="1434"/>
                  </a:lnTo>
                  <a:lnTo>
                    <a:pt x="5362" y="1434"/>
                  </a:lnTo>
                  <a:lnTo>
                    <a:pt x="5362" y="1434"/>
                  </a:lnTo>
                  <a:lnTo>
                    <a:pt x="5362" y="1434"/>
                  </a:lnTo>
                  <a:lnTo>
                    <a:pt x="5404" y="1434"/>
                  </a:lnTo>
                  <a:lnTo>
                    <a:pt x="5404" y="1434"/>
                  </a:lnTo>
                  <a:lnTo>
                    <a:pt x="5404" y="1434"/>
                  </a:lnTo>
                  <a:lnTo>
                    <a:pt x="5410" y="1434"/>
                  </a:lnTo>
                  <a:lnTo>
                    <a:pt x="5410" y="1392"/>
                  </a:lnTo>
                  <a:lnTo>
                    <a:pt x="5410" y="1434"/>
                  </a:lnTo>
                  <a:lnTo>
                    <a:pt x="5451" y="1434"/>
                  </a:lnTo>
                  <a:lnTo>
                    <a:pt x="5451" y="1428"/>
                  </a:lnTo>
                  <a:lnTo>
                    <a:pt x="5451" y="1434"/>
                  </a:lnTo>
                  <a:lnTo>
                    <a:pt x="5487" y="1434"/>
                  </a:lnTo>
                  <a:lnTo>
                    <a:pt x="5487" y="1434"/>
                  </a:lnTo>
                  <a:lnTo>
                    <a:pt x="5487" y="1434"/>
                  </a:lnTo>
                  <a:lnTo>
                    <a:pt x="5493" y="1434"/>
                  </a:lnTo>
                  <a:lnTo>
                    <a:pt x="5493" y="1386"/>
                  </a:lnTo>
                  <a:lnTo>
                    <a:pt x="5493" y="1434"/>
                  </a:lnTo>
                  <a:lnTo>
                    <a:pt x="5535" y="1434"/>
                  </a:lnTo>
                  <a:lnTo>
                    <a:pt x="5535" y="1428"/>
                  </a:lnTo>
                  <a:lnTo>
                    <a:pt x="5535" y="1434"/>
                  </a:lnTo>
                  <a:lnTo>
                    <a:pt x="5577" y="1434"/>
                  </a:lnTo>
                  <a:lnTo>
                    <a:pt x="5577" y="1434"/>
                  </a:lnTo>
                  <a:lnTo>
                    <a:pt x="5577" y="1434"/>
                  </a:lnTo>
                  <a:lnTo>
                    <a:pt x="5618" y="1434"/>
                  </a:lnTo>
                  <a:lnTo>
                    <a:pt x="5618" y="1434"/>
                  </a:lnTo>
                  <a:lnTo>
                    <a:pt x="5618" y="1434"/>
                  </a:lnTo>
                  <a:lnTo>
                    <a:pt x="5660" y="1434"/>
                  </a:lnTo>
                  <a:lnTo>
                    <a:pt x="5660" y="1434"/>
                  </a:lnTo>
                  <a:lnTo>
                    <a:pt x="5660" y="1434"/>
                  </a:lnTo>
                  <a:lnTo>
                    <a:pt x="5809" y="1434"/>
                  </a:lnTo>
                  <a:lnTo>
                    <a:pt x="5809" y="1434"/>
                  </a:lnTo>
                  <a:lnTo>
                    <a:pt x="5809" y="1434"/>
                  </a:lnTo>
                  <a:lnTo>
                    <a:pt x="5917" y="1434"/>
                  </a:lnTo>
                  <a:lnTo>
                    <a:pt x="5917" y="1434"/>
                  </a:lnTo>
                  <a:lnTo>
                    <a:pt x="5917" y="1434"/>
                  </a:lnTo>
                  <a:lnTo>
                    <a:pt x="5958" y="1434"/>
                  </a:lnTo>
                  <a:lnTo>
                    <a:pt x="5958" y="1428"/>
                  </a:lnTo>
                  <a:lnTo>
                    <a:pt x="5958" y="1434"/>
                  </a:lnTo>
                  <a:lnTo>
                    <a:pt x="6000" y="1434"/>
                  </a:lnTo>
                  <a:lnTo>
                    <a:pt x="6000" y="1344"/>
                  </a:lnTo>
                  <a:lnTo>
                    <a:pt x="6000" y="1434"/>
                  </a:lnTo>
                  <a:lnTo>
                    <a:pt x="6048" y="1434"/>
                  </a:lnTo>
                  <a:lnTo>
                    <a:pt x="6048" y="1416"/>
                  </a:lnTo>
                  <a:lnTo>
                    <a:pt x="6048" y="1434"/>
                  </a:lnTo>
                  <a:lnTo>
                    <a:pt x="6084" y="1434"/>
                  </a:lnTo>
                  <a:lnTo>
                    <a:pt x="6084" y="1422"/>
                  </a:lnTo>
                  <a:lnTo>
                    <a:pt x="6084" y="1434"/>
                  </a:lnTo>
                  <a:lnTo>
                    <a:pt x="6090" y="1434"/>
                  </a:lnTo>
                  <a:lnTo>
                    <a:pt x="6090" y="1218"/>
                  </a:lnTo>
                  <a:lnTo>
                    <a:pt x="6090" y="1434"/>
                  </a:lnTo>
                  <a:lnTo>
                    <a:pt x="6101" y="1434"/>
                  </a:lnTo>
                  <a:lnTo>
                    <a:pt x="6101" y="1434"/>
                  </a:lnTo>
                  <a:lnTo>
                    <a:pt x="6101" y="1434"/>
                  </a:lnTo>
                  <a:lnTo>
                    <a:pt x="6125" y="1434"/>
                  </a:lnTo>
                  <a:lnTo>
                    <a:pt x="6125" y="1428"/>
                  </a:lnTo>
                  <a:lnTo>
                    <a:pt x="6125" y="1434"/>
                  </a:lnTo>
                  <a:lnTo>
                    <a:pt x="6131" y="1434"/>
                  </a:lnTo>
                  <a:lnTo>
                    <a:pt x="6131" y="1398"/>
                  </a:lnTo>
                  <a:lnTo>
                    <a:pt x="6131" y="1434"/>
                  </a:lnTo>
                  <a:lnTo>
                    <a:pt x="6167" y="1434"/>
                  </a:lnTo>
                  <a:lnTo>
                    <a:pt x="6167" y="1428"/>
                  </a:lnTo>
                  <a:lnTo>
                    <a:pt x="6167" y="1434"/>
                  </a:lnTo>
                  <a:lnTo>
                    <a:pt x="6173" y="1434"/>
                  </a:lnTo>
                  <a:lnTo>
                    <a:pt x="6173" y="1434"/>
                  </a:lnTo>
                  <a:lnTo>
                    <a:pt x="6173" y="1434"/>
                  </a:lnTo>
                  <a:lnTo>
                    <a:pt x="6209" y="1434"/>
                  </a:lnTo>
                  <a:lnTo>
                    <a:pt x="6209" y="1434"/>
                  </a:lnTo>
                  <a:lnTo>
                    <a:pt x="6209" y="1434"/>
                  </a:lnTo>
                  <a:lnTo>
                    <a:pt x="6215" y="1434"/>
                  </a:lnTo>
                  <a:lnTo>
                    <a:pt x="6215" y="1434"/>
                  </a:lnTo>
                  <a:lnTo>
                    <a:pt x="6215" y="1434"/>
                  </a:lnTo>
                  <a:lnTo>
                    <a:pt x="6251" y="1434"/>
                  </a:lnTo>
                  <a:lnTo>
                    <a:pt x="6251" y="1434"/>
                  </a:lnTo>
                  <a:lnTo>
                    <a:pt x="6251" y="1434"/>
                  </a:lnTo>
                  <a:lnTo>
                    <a:pt x="6340" y="1434"/>
                  </a:lnTo>
                  <a:lnTo>
                    <a:pt x="6340" y="1434"/>
                  </a:lnTo>
                  <a:lnTo>
                    <a:pt x="6340" y="1434"/>
                  </a:lnTo>
                  <a:lnTo>
                    <a:pt x="6382" y="1434"/>
                  </a:lnTo>
                  <a:lnTo>
                    <a:pt x="6382" y="1434"/>
                  </a:lnTo>
                  <a:lnTo>
                    <a:pt x="6382" y="1434"/>
                  </a:lnTo>
                  <a:lnTo>
                    <a:pt x="6400" y="1434"/>
                  </a:lnTo>
                </a:path>
              </a:pathLst>
            </a:custGeom>
            <a:noFill/>
            <a:ln w="9525" cap="flat">
              <a:solidFill>
                <a:srgbClr val="ED1C24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="" xmlns:a16="http://schemas.microsoft.com/office/drawing/2014/main" id="{00000000-0008-0000-2200-00001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160" y="3183"/>
              <a:ext cx="268" cy="11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83.0748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="" xmlns:a16="http://schemas.microsoft.com/office/drawing/2014/main" id="{00000000-0008-0000-2200-00001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5" y="3321"/>
              <a:ext cx="268" cy="11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96.0851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="" xmlns:a16="http://schemas.microsoft.com/office/drawing/2014/main" id="{00000000-0008-0000-2200-00001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32" y="3477"/>
              <a:ext cx="420" cy="13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109.0916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="" xmlns:a16="http://schemas.microsoft.com/office/drawing/2014/main" id="{00000000-0008-0000-2200-00001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22" y="3465"/>
              <a:ext cx="418" cy="13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123.1061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="" xmlns:a16="http://schemas.microsoft.com/office/drawing/2014/main" id="{00000000-0008-0000-2200-00001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208" y="2211"/>
              <a:ext cx="464" cy="1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139.1374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7" name="Rectangle 26">
              <a:extLst>
                <a:ext uri="{FF2B5EF4-FFF2-40B4-BE49-F238E27FC236}">
                  <a16:creationId xmlns="" xmlns:a16="http://schemas.microsoft.com/office/drawing/2014/main" id="{00000000-0008-0000-2200-00001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88" y="3405"/>
              <a:ext cx="455" cy="14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155.1317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8" name="Rectangle 27">
              <a:extLst>
                <a:ext uri="{FF2B5EF4-FFF2-40B4-BE49-F238E27FC236}">
                  <a16:creationId xmlns="" xmlns:a16="http://schemas.microsoft.com/office/drawing/2014/main" id="{00000000-0008-0000-2200-00001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37" y="3357"/>
              <a:ext cx="485" cy="1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168.1277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29" name="Rectangle 28">
              <a:extLst>
                <a:ext uri="{FF2B5EF4-FFF2-40B4-BE49-F238E27FC236}">
                  <a16:creationId xmlns="" xmlns:a16="http://schemas.microsoft.com/office/drawing/2014/main" id="{00000000-0008-0000-2200-00001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91" y="3507"/>
              <a:ext cx="458" cy="1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181.1576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0" name="Rectangle 29">
              <a:extLst>
                <a:ext uri="{FF2B5EF4-FFF2-40B4-BE49-F238E27FC236}">
                  <a16:creationId xmlns="" xmlns:a16="http://schemas.microsoft.com/office/drawing/2014/main" id="{00000000-0008-0000-2200-00001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04" y="2793"/>
              <a:ext cx="402" cy="1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193.1843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1" name="Rectangle 30">
              <a:extLst>
                <a:ext uri="{FF2B5EF4-FFF2-40B4-BE49-F238E27FC236}">
                  <a16:creationId xmlns="" xmlns:a16="http://schemas.microsoft.com/office/drawing/2014/main" id="{00000000-0008-0000-2200-00001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184" y="3597"/>
              <a:ext cx="439" cy="1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209.2071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="" xmlns:a16="http://schemas.microsoft.com/office/drawing/2014/main" id="{00000000-0008-0000-2200-00002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80" y="3429"/>
              <a:ext cx="392" cy="1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itchFamily="34" charset="0"/>
                  <a:cs typeface="Arial" pitchFamily="34" charset="0"/>
                </a:rPr>
                <a:t>223.2306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="" xmlns:a16="http://schemas.microsoft.com/office/drawing/2014/main" id="{00000000-0008-0000-2200-00002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205" y="2097"/>
              <a:ext cx="6454" cy="1632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4" name="Line 33">
              <a:extLst>
                <a:ext uri="{FF2B5EF4-FFF2-40B4-BE49-F238E27FC236}">
                  <a16:creationId xmlns="" xmlns:a16="http://schemas.microsoft.com/office/drawing/2014/main" id="{00000000-0008-0000-22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2097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="" xmlns:a16="http://schemas.microsoft.com/office/drawing/2014/main" id="{00000000-0008-0000-2200-00002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2055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0.0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6" name="Line 35">
              <a:extLst>
                <a:ext uri="{FF2B5EF4-FFF2-40B4-BE49-F238E27FC236}">
                  <a16:creationId xmlns="" xmlns:a16="http://schemas.microsoft.com/office/drawing/2014/main" id="{00000000-0008-0000-2200-00002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043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7" name="Line 36">
              <a:extLst>
                <a:ext uri="{FF2B5EF4-FFF2-40B4-BE49-F238E27FC236}">
                  <a16:creationId xmlns="" xmlns:a16="http://schemas.microsoft.com/office/drawing/2014/main" id="{00000000-0008-0000-2200-00002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98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8" name="Line 37">
              <a:extLst>
                <a:ext uri="{FF2B5EF4-FFF2-40B4-BE49-F238E27FC236}">
                  <a16:creationId xmlns="" xmlns:a16="http://schemas.microsoft.com/office/drawing/2014/main" id="{00000000-0008-0000-22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935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39" name="Line 38">
              <a:extLst>
                <a:ext uri="{FF2B5EF4-FFF2-40B4-BE49-F238E27FC236}">
                  <a16:creationId xmlns="" xmlns:a16="http://schemas.microsoft.com/office/drawing/2014/main" id="{00000000-0008-0000-22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881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40" name="Line 39">
              <a:extLst>
                <a:ext uri="{FF2B5EF4-FFF2-40B4-BE49-F238E27FC236}">
                  <a16:creationId xmlns="" xmlns:a16="http://schemas.microsoft.com/office/drawing/2014/main" id="{00000000-0008-0000-22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1827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41" name="Rectangle 40">
              <a:extLst>
                <a:ext uri="{FF2B5EF4-FFF2-40B4-BE49-F238E27FC236}">
                  <a16:creationId xmlns="" xmlns:a16="http://schemas.microsoft.com/office/drawing/2014/main" id="{00000000-0008-0000-2200-00002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1785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0.5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42" name="Line 41">
              <a:extLst>
                <a:ext uri="{FF2B5EF4-FFF2-40B4-BE49-F238E27FC236}">
                  <a16:creationId xmlns="" xmlns:a16="http://schemas.microsoft.com/office/drawing/2014/main" id="{00000000-0008-0000-2200-00002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76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43" name="Line 42">
              <a:extLst>
                <a:ext uri="{FF2B5EF4-FFF2-40B4-BE49-F238E27FC236}">
                  <a16:creationId xmlns="" xmlns:a16="http://schemas.microsoft.com/office/drawing/2014/main" id="{00000000-0008-0000-2200-00002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713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44" name="Line 43">
              <a:extLst>
                <a:ext uri="{FF2B5EF4-FFF2-40B4-BE49-F238E27FC236}">
                  <a16:creationId xmlns="" xmlns:a16="http://schemas.microsoft.com/office/drawing/2014/main" id="{00000000-0008-0000-2200-00002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65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45" name="Line 44">
              <a:extLst>
                <a:ext uri="{FF2B5EF4-FFF2-40B4-BE49-F238E27FC236}">
                  <a16:creationId xmlns="" xmlns:a16="http://schemas.microsoft.com/office/drawing/2014/main" id="{00000000-0008-0000-2200-00002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605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46" name="Line 45">
              <a:extLst>
                <a:ext uri="{FF2B5EF4-FFF2-40B4-BE49-F238E27FC236}">
                  <a16:creationId xmlns="" xmlns:a16="http://schemas.microsoft.com/office/drawing/2014/main" id="{00000000-0008-0000-2200-00002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1551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47" name="Rectangle 46">
              <a:extLst>
                <a:ext uri="{FF2B5EF4-FFF2-40B4-BE49-F238E27FC236}">
                  <a16:creationId xmlns="" xmlns:a16="http://schemas.microsoft.com/office/drawing/2014/main" id="{00000000-0008-0000-22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1509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1.0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48" name="Line 47">
              <a:extLst>
                <a:ext uri="{FF2B5EF4-FFF2-40B4-BE49-F238E27FC236}">
                  <a16:creationId xmlns="" xmlns:a16="http://schemas.microsoft.com/office/drawing/2014/main" id="{00000000-0008-0000-2200-00003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49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49" name="Line 48">
              <a:extLst>
                <a:ext uri="{FF2B5EF4-FFF2-40B4-BE49-F238E27FC236}">
                  <a16:creationId xmlns="" xmlns:a16="http://schemas.microsoft.com/office/drawing/2014/main" id="{00000000-0008-0000-2200-00003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443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50" name="Line 49">
              <a:extLst>
                <a:ext uri="{FF2B5EF4-FFF2-40B4-BE49-F238E27FC236}">
                  <a16:creationId xmlns="" xmlns:a16="http://schemas.microsoft.com/office/drawing/2014/main" id="{00000000-0008-0000-2200-00003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38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51" name="Line 50">
              <a:extLst>
                <a:ext uri="{FF2B5EF4-FFF2-40B4-BE49-F238E27FC236}">
                  <a16:creationId xmlns="" xmlns:a16="http://schemas.microsoft.com/office/drawing/2014/main" id="{00000000-0008-0000-2200-00003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335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52" name="Line 51">
              <a:extLst>
                <a:ext uri="{FF2B5EF4-FFF2-40B4-BE49-F238E27FC236}">
                  <a16:creationId xmlns="" xmlns:a16="http://schemas.microsoft.com/office/drawing/2014/main" id="{00000000-0008-0000-2200-00003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1281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53" name="Rectangle 52">
              <a:extLst>
                <a:ext uri="{FF2B5EF4-FFF2-40B4-BE49-F238E27FC236}">
                  <a16:creationId xmlns="" xmlns:a16="http://schemas.microsoft.com/office/drawing/2014/main" id="{00000000-0008-0000-2200-00003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1239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1.5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54" name="Line 53">
              <a:extLst>
                <a:ext uri="{FF2B5EF4-FFF2-40B4-BE49-F238E27FC236}">
                  <a16:creationId xmlns="" xmlns:a16="http://schemas.microsoft.com/office/drawing/2014/main" id="{00000000-0008-0000-2200-00003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22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55" name="Line 54">
              <a:extLst>
                <a:ext uri="{FF2B5EF4-FFF2-40B4-BE49-F238E27FC236}">
                  <a16:creationId xmlns="" xmlns:a16="http://schemas.microsoft.com/office/drawing/2014/main" id="{00000000-0008-0000-2200-00003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16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56" name="Line 55">
              <a:extLst>
                <a:ext uri="{FF2B5EF4-FFF2-40B4-BE49-F238E27FC236}">
                  <a16:creationId xmlns="" xmlns:a16="http://schemas.microsoft.com/office/drawing/2014/main" id="{00000000-0008-0000-2200-00003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113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57" name="Line 56">
              <a:extLst>
                <a:ext uri="{FF2B5EF4-FFF2-40B4-BE49-F238E27FC236}">
                  <a16:creationId xmlns="" xmlns:a16="http://schemas.microsoft.com/office/drawing/2014/main" id="{00000000-0008-0000-2200-00003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105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58" name="Line 57">
              <a:extLst>
                <a:ext uri="{FF2B5EF4-FFF2-40B4-BE49-F238E27FC236}">
                  <a16:creationId xmlns="" xmlns:a16="http://schemas.microsoft.com/office/drawing/2014/main" id="{00000000-0008-0000-2200-00003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1005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59" name="Rectangle 58">
              <a:extLst>
                <a:ext uri="{FF2B5EF4-FFF2-40B4-BE49-F238E27FC236}">
                  <a16:creationId xmlns="" xmlns:a16="http://schemas.microsoft.com/office/drawing/2014/main" id="{00000000-0008-0000-2200-00003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963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2.0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60" name="Line 59">
              <a:extLst>
                <a:ext uri="{FF2B5EF4-FFF2-40B4-BE49-F238E27FC236}">
                  <a16:creationId xmlns="" xmlns:a16="http://schemas.microsoft.com/office/drawing/2014/main" id="{00000000-0008-0000-2200-00003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951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61" name="Line 60">
              <a:extLst>
                <a:ext uri="{FF2B5EF4-FFF2-40B4-BE49-F238E27FC236}">
                  <a16:creationId xmlns="" xmlns:a16="http://schemas.microsoft.com/office/drawing/2014/main" id="{00000000-0008-0000-2200-00003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89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62" name="Line 61">
              <a:extLst>
                <a:ext uri="{FF2B5EF4-FFF2-40B4-BE49-F238E27FC236}">
                  <a16:creationId xmlns="" xmlns:a16="http://schemas.microsoft.com/office/drawing/2014/main" id="{00000000-0008-0000-2200-00003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843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63" name="Line 62">
              <a:extLst>
                <a:ext uri="{FF2B5EF4-FFF2-40B4-BE49-F238E27FC236}">
                  <a16:creationId xmlns="" xmlns:a16="http://schemas.microsoft.com/office/drawing/2014/main" id="{00000000-0008-0000-2200-00003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78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64" name="Line 63">
              <a:extLst>
                <a:ext uri="{FF2B5EF4-FFF2-40B4-BE49-F238E27FC236}">
                  <a16:creationId xmlns="" xmlns:a16="http://schemas.microsoft.com/office/drawing/2014/main" id="{00000000-0008-0000-2200-00004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735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65" name="Rectangle 64">
              <a:extLst>
                <a:ext uri="{FF2B5EF4-FFF2-40B4-BE49-F238E27FC236}">
                  <a16:creationId xmlns="" xmlns:a16="http://schemas.microsoft.com/office/drawing/2014/main" id="{00000000-0008-0000-2200-00004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693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2.5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66" name="Line 65">
              <a:extLst>
                <a:ext uri="{FF2B5EF4-FFF2-40B4-BE49-F238E27FC236}">
                  <a16:creationId xmlns="" xmlns:a16="http://schemas.microsoft.com/office/drawing/2014/main" id="{00000000-0008-0000-2200-00004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681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67" name="Line 66">
              <a:extLst>
                <a:ext uri="{FF2B5EF4-FFF2-40B4-BE49-F238E27FC236}">
                  <a16:creationId xmlns="" xmlns:a16="http://schemas.microsoft.com/office/drawing/2014/main" id="{00000000-0008-0000-2200-00004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62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68" name="Line 67">
              <a:extLst>
                <a:ext uri="{FF2B5EF4-FFF2-40B4-BE49-F238E27FC236}">
                  <a16:creationId xmlns="" xmlns:a16="http://schemas.microsoft.com/office/drawing/2014/main" id="{00000000-0008-0000-2200-00004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56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69" name="Line 68">
              <a:extLst>
                <a:ext uri="{FF2B5EF4-FFF2-40B4-BE49-F238E27FC236}">
                  <a16:creationId xmlns="" xmlns:a16="http://schemas.microsoft.com/office/drawing/2014/main" id="{00000000-0008-0000-2200-00004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513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0" name="Rectangle 69">
              <a:extLst>
                <a:ext uri="{FF2B5EF4-FFF2-40B4-BE49-F238E27FC236}">
                  <a16:creationId xmlns="" xmlns:a16="http://schemas.microsoft.com/office/drawing/2014/main" id="{00000000-0008-0000-2200-00004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13" y="525"/>
              <a:ext cx="72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5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71" name="Rectangle 70">
              <a:extLst>
                <a:ext uri="{FF2B5EF4-FFF2-40B4-BE49-F238E27FC236}">
                  <a16:creationId xmlns="" xmlns:a16="http://schemas.microsoft.com/office/drawing/2014/main" id="{00000000-0008-0000-2200-00004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419" y="543"/>
              <a:ext cx="143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x10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72" name="Rectangle 71">
              <a:extLst>
                <a:ext uri="{FF2B5EF4-FFF2-40B4-BE49-F238E27FC236}">
                  <a16:creationId xmlns="" xmlns:a16="http://schemas.microsoft.com/office/drawing/2014/main" id="{00000000-0008-0000-2200-00004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486" y="459"/>
              <a:ext cx="245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Intens.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73" name="Line 72">
              <a:extLst>
                <a:ext uri="{FF2B5EF4-FFF2-40B4-BE49-F238E27FC236}">
                  <a16:creationId xmlns="" xmlns:a16="http://schemas.microsoft.com/office/drawing/2014/main" id="{00000000-0008-0000-2200-00004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3723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="" xmlns:a16="http://schemas.microsoft.com/office/drawing/2014/main" id="{00000000-0008-0000-2200-00004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3681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0.0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75" name="Line 74">
              <a:extLst>
                <a:ext uri="{FF2B5EF4-FFF2-40B4-BE49-F238E27FC236}">
                  <a16:creationId xmlns="" xmlns:a16="http://schemas.microsoft.com/office/drawing/2014/main" id="{00000000-0008-0000-2200-00004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675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6" name="Line 75">
              <a:extLst>
                <a:ext uri="{FF2B5EF4-FFF2-40B4-BE49-F238E27FC236}">
                  <a16:creationId xmlns="" xmlns:a16="http://schemas.microsoft.com/office/drawing/2014/main" id="{00000000-0008-0000-2200-00004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62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7" name="Line 76">
              <a:extLst>
                <a:ext uri="{FF2B5EF4-FFF2-40B4-BE49-F238E27FC236}">
                  <a16:creationId xmlns="" xmlns:a16="http://schemas.microsoft.com/office/drawing/2014/main" id="{00000000-0008-0000-2200-00004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57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8" name="Line 77">
              <a:extLst>
                <a:ext uri="{FF2B5EF4-FFF2-40B4-BE49-F238E27FC236}">
                  <a16:creationId xmlns="" xmlns:a16="http://schemas.microsoft.com/office/drawing/2014/main" id="{00000000-0008-0000-2200-00004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531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9" name="Line 78">
              <a:extLst>
                <a:ext uri="{FF2B5EF4-FFF2-40B4-BE49-F238E27FC236}">
                  <a16:creationId xmlns="" xmlns:a16="http://schemas.microsoft.com/office/drawing/2014/main" id="{00000000-0008-0000-2200-00004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3483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0" name="Rectangle 79">
              <a:extLst>
                <a:ext uri="{FF2B5EF4-FFF2-40B4-BE49-F238E27FC236}">
                  <a16:creationId xmlns="" xmlns:a16="http://schemas.microsoft.com/office/drawing/2014/main" id="{00000000-0008-0000-2200-00005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3441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0.5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81" name="Line 80">
              <a:extLst>
                <a:ext uri="{FF2B5EF4-FFF2-40B4-BE49-F238E27FC236}">
                  <a16:creationId xmlns="" xmlns:a16="http://schemas.microsoft.com/office/drawing/2014/main" id="{00000000-0008-0000-2200-00005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42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2" name="Line 81">
              <a:extLst>
                <a:ext uri="{FF2B5EF4-FFF2-40B4-BE49-F238E27FC236}">
                  <a16:creationId xmlns="" xmlns:a16="http://schemas.microsoft.com/office/drawing/2014/main" id="{00000000-0008-0000-2200-00005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381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3" name="Line 82">
              <a:extLst>
                <a:ext uri="{FF2B5EF4-FFF2-40B4-BE49-F238E27FC236}">
                  <a16:creationId xmlns="" xmlns:a16="http://schemas.microsoft.com/office/drawing/2014/main" id="{00000000-0008-0000-2200-00005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333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4" name="Line 83">
              <a:extLst>
                <a:ext uri="{FF2B5EF4-FFF2-40B4-BE49-F238E27FC236}">
                  <a16:creationId xmlns="" xmlns:a16="http://schemas.microsoft.com/office/drawing/2014/main" id="{00000000-0008-0000-2200-00005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285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5" name="Line 84">
              <a:extLst>
                <a:ext uri="{FF2B5EF4-FFF2-40B4-BE49-F238E27FC236}">
                  <a16:creationId xmlns="" xmlns:a16="http://schemas.microsoft.com/office/drawing/2014/main" id="{00000000-0008-0000-2200-00005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3237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6" name="Rectangle 85">
              <a:extLst>
                <a:ext uri="{FF2B5EF4-FFF2-40B4-BE49-F238E27FC236}">
                  <a16:creationId xmlns="" xmlns:a16="http://schemas.microsoft.com/office/drawing/2014/main" id="{00000000-0008-0000-2200-00005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3195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1.0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87" name="Line 86">
              <a:extLst>
                <a:ext uri="{FF2B5EF4-FFF2-40B4-BE49-F238E27FC236}">
                  <a16:creationId xmlns="" xmlns:a16="http://schemas.microsoft.com/office/drawing/2014/main" id="{00000000-0008-0000-2200-00005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18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8" name="Line 87">
              <a:extLst>
                <a:ext uri="{FF2B5EF4-FFF2-40B4-BE49-F238E27FC236}">
                  <a16:creationId xmlns="" xmlns:a16="http://schemas.microsoft.com/office/drawing/2014/main" id="{00000000-0008-0000-2200-00005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141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89" name="Line 88">
              <a:extLst>
                <a:ext uri="{FF2B5EF4-FFF2-40B4-BE49-F238E27FC236}">
                  <a16:creationId xmlns="" xmlns:a16="http://schemas.microsoft.com/office/drawing/2014/main" id="{00000000-0008-0000-2200-00005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093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0" name="Line 89">
              <a:extLst>
                <a:ext uri="{FF2B5EF4-FFF2-40B4-BE49-F238E27FC236}">
                  <a16:creationId xmlns="" xmlns:a16="http://schemas.microsoft.com/office/drawing/2014/main" id="{00000000-0008-0000-2200-00005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3045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1" name="Line 90">
              <a:extLst>
                <a:ext uri="{FF2B5EF4-FFF2-40B4-BE49-F238E27FC236}">
                  <a16:creationId xmlns="" xmlns:a16="http://schemas.microsoft.com/office/drawing/2014/main" id="{00000000-0008-0000-2200-00005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2997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2" name="Rectangle 91">
              <a:extLst>
                <a:ext uri="{FF2B5EF4-FFF2-40B4-BE49-F238E27FC236}">
                  <a16:creationId xmlns="" xmlns:a16="http://schemas.microsoft.com/office/drawing/2014/main" id="{00000000-0008-0000-2200-00005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2955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1.5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93" name="Line 92">
              <a:extLst>
                <a:ext uri="{FF2B5EF4-FFF2-40B4-BE49-F238E27FC236}">
                  <a16:creationId xmlns="" xmlns:a16="http://schemas.microsoft.com/office/drawing/2014/main" id="{00000000-0008-0000-2200-00005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94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4" name="Line 93">
              <a:extLst>
                <a:ext uri="{FF2B5EF4-FFF2-40B4-BE49-F238E27FC236}">
                  <a16:creationId xmlns="" xmlns:a16="http://schemas.microsoft.com/office/drawing/2014/main" id="{00000000-0008-0000-2200-00005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901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5" name="Line 94">
              <a:extLst>
                <a:ext uri="{FF2B5EF4-FFF2-40B4-BE49-F238E27FC236}">
                  <a16:creationId xmlns="" xmlns:a16="http://schemas.microsoft.com/office/drawing/2014/main" id="{00000000-0008-0000-2200-00005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84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6" name="Line 95">
              <a:extLst>
                <a:ext uri="{FF2B5EF4-FFF2-40B4-BE49-F238E27FC236}">
                  <a16:creationId xmlns="" xmlns:a16="http://schemas.microsoft.com/office/drawing/2014/main" id="{00000000-0008-0000-2200-00006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79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7" name="Line 96">
              <a:extLst>
                <a:ext uri="{FF2B5EF4-FFF2-40B4-BE49-F238E27FC236}">
                  <a16:creationId xmlns="" xmlns:a16="http://schemas.microsoft.com/office/drawing/2014/main" id="{00000000-0008-0000-2200-00006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2751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98" name="Rectangle 97">
              <a:extLst>
                <a:ext uri="{FF2B5EF4-FFF2-40B4-BE49-F238E27FC236}">
                  <a16:creationId xmlns="" xmlns:a16="http://schemas.microsoft.com/office/drawing/2014/main" id="{00000000-0008-0000-2200-00006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2709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2.0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99" name="Line 98">
              <a:extLst>
                <a:ext uri="{FF2B5EF4-FFF2-40B4-BE49-F238E27FC236}">
                  <a16:creationId xmlns="" xmlns:a16="http://schemas.microsoft.com/office/drawing/2014/main" id="{00000000-0008-0000-2200-00006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703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0" name="Line 99">
              <a:extLst>
                <a:ext uri="{FF2B5EF4-FFF2-40B4-BE49-F238E27FC236}">
                  <a16:creationId xmlns="" xmlns:a16="http://schemas.microsoft.com/office/drawing/2014/main" id="{00000000-0008-0000-2200-00006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655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1" name="Line 100">
              <a:extLst>
                <a:ext uri="{FF2B5EF4-FFF2-40B4-BE49-F238E27FC236}">
                  <a16:creationId xmlns="" xmlns:a16="http://schemas.microsoft.com/office/drawing/2014/main" id="{00000000-0008-0000-2200-00006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60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2" name="Line 101">
              <a:extLst>
                <a:ext uri="{FF2B5EF4-FFF2-40B4-BE49-F238E27FC236}">
                  <a16:creationId xmlns="" xmlns:a16="http://schemas.microsoft.com/office/drawing/2014/main" id="{00000000-0008-0000-2200-00006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55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3" name="Line 102">
              <a:extLst>
                <a:ext uri="{FF2B5EF4-FFF2-40B4-BE49-F238E27FC236}">
                  <a16:creationId xmlns="" xmlns:a16="http://schemas.microsoft.com/office/drawing/2014/main" id="{00000000-0008-0000-2200-00006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2511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4" name="Rectangle 103">
              <a:extLst>
                <a:ext uri="{FF2B5EF4-FFF2-40B4-BE49-F238E27FC236}">
                  <a16:creationId xmlns="" xmlns:a16="http://schemas.microsoft.com/office/drawing/2014/main" id="{00000000-0008-0000-2200-00006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2469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2.5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5" name="Line 104">
              <a:extLst>
                <a:ext uri="{FF2B5EF4-FFF2-40B4-BE49-F238E27FC236}">
                  <a16:creationId xmlns="" xmlns:a16="http://schemas.microsoft.com/office/drawing/2014/main" id="{00000000-0008-0000-2200-00006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463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6" name="Line 105">
              <a:extLst>
                <a:ext uri="{FF2B5EF4-FFF2-40B4-BE49-F238E27FC236}">
                  <a16:creationId xmlns="" xmlns:a16="http://schemas.microsoft.com/office/drawing/2014/main" id="{00000000-0008-0000-2200-00006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415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7" name="Line 106">
              <a:extLst>
                <a:ext uri="{FF2B5EF4-FFF2-40B4-BE49-F238E27FC236}">
                  <a16:creationId xmlns="" xmlns:a16="http://schemas.microsoft.com/office/drawing/2014/main" id="{00000000-0008-0000-2200-00006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36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8" name="Line 107">
              <a:extLst>
                <a:ext uri="{FF2B5EF4-FFF2-40B4-BE49-F238E27FC236}">
                  <a16:creationId xmlns="" xmlns:a16="http://schemas.microsoft.com/office/drawing/2014/main" id="{00000000-0008-0000-2200-00006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31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09" name="Line 108">
              <a:extLst>
                <a:ext uri="{FF2B5EF4-FFF2-40B4-BE49-F238E27FC236}">
                  <a16:creationId xmlns="" xmlns:a16="http://schemas.microsoft.com/office/drawing/2014/main" id="{00000000-0008-0000-2200-00006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35" y="2265"/>
              <a:ext cx="30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0" name="Rectangle 109">
              <a:extLst>
                <a:ext uri="{FF2B5EF4-FFF2-40B4-BE49-F238E27FC236}">
                  <a16:creationId xmlns="" xmlns:a16="http://schemas.microsoft.com/office/drawing/2014/main" id="{00000000-0008-0000-2200-00006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83" y="2223"/>
              <a:ext cx="131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3.0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1" name="Line 110">
              <a:extLst>
                <a:ext uri="{FF2B5EF4-FFF2-40B4-BE49-F238E27FC236}">
                  <a16:creationId xmlns="" xmlns:a16="http://schemas.microsoft.com/office/drawing/2014/main" id="{00000000-0008-0000-2200-00006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217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2" name="Line 111">
              <a:extLst>
                <a:ext uri="{FF2B5EF4-FFF2-40B4-BE49-F238E27FC236}">
                  <a16:creationId xmlns="" xmlns:a16="http://schemas.microsoft.com/office/drawing/2014/main" id="{00000000-0008-0000-2200-00007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169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3" name="Line 112">
              <a:extLst>
                <a:ext uri="{FF2B5EF4-FFF2-40B4-BE49-F238E27FC236}">
                  <a16:creationId xmlns="" xmlns:a16="http://schemas.microsoft.com/office/drawing/2014/main" id="{00000000-0008-0000-2200-00007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223" y="2121"/>
              <a:ext cx="1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4" name="Rectangle 113">
              <a:extLst>
                <a:ext uri="{FF2B5EF4-FFF2-40B4-BE49-F238E27FC236}">
                  <a16:creationId xmlns="" xmlns:a16="http://schemas.microsoft.com/office/drawing/2014/main" id="{00000000-0008-0000-2200-00007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313" y="2085"/>
              <a:ext cx="72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5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5" name="Rectangle 114">
              <a:extLst>
                <a:ext uri="{FF2B5EF4-FFF2-40B4-BE49-F238E27FC236}">
                  <a16:creationId xmlns="" xmlns:a16="http://schemas.microsoft.com/office/drawing/2014/main" id="{00000000-0008-0000-22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419" y="2117"/>
              <a:ext cx="143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x10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6" name="Line 115">
              <a:extLst>
                <a:ext uri="{FF2B5EF4-FFF2-40B4-BE49-F238E27FC236}">
                  <a16:creationId xmlns="" xmlns:a16="http://schemas.microsoft.com/office/drawing/2014/main" id="{00000000-0008-0000-2200-00007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-157" y="3729"/>
              <a:ext cx="0" cy="3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7" name="Rectangle 116">
              <a:extLst>
                <a:ext uri="{FF2B5EF4-FFF2-40B4-BE49-F238E27FC236}">
                  <a16:creationId xmlns="" xmlns:a16="http://schemas.microsoft.com/office/drawing/2014/main" id="{00000000-0008-0000-2200-00007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211" y="3759"/>
              <a:ext cx="108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80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8" name="Line 117">
              <a:extLst>
                <a:ext uri="{FF2B5EF4-FFF2-40B4-BE49-F238E27FC236}">
                  <a16:creationId xmlns="" xmlns:a16="http://schemas.microsoft.com/office/drawing/2014/main" id="{00000000-0008-0000-2200-00007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66" y="3729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19" name="Line 118">
              <a:extLst>
                <a:ext uri="{FF2B5EF4-FFF2-40B4-BE49-F238E27FC236}">
                  <a16:creationId xmlns="" xmlns:a16="http://schemas.microsoft.com/office/drawing/2014/main" id="{00000000-0008-0000-2200-00007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90" y="3729"/>
              <a:ext cx="0" cy="3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0" name="Rectangle 119">
              <a:extLst>
                <a:ext uri="{FF2B5EF4-FFF2-40B4-BE49-F238E27FC236}">
                  <a16:creationId xmlns="" xmlns:a16="http://schemas.microsoft.com/office/drawing/2014/main" id="{00000000-0008-0000-2200-00007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" y="3759"/>
              <a:ext cx="148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100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21" name="Line 120">
              <a:extLst>
                <a:ext uri="{FF2B5EF4-FFF2-40B4-BE49-F238E27FC236}">
                  <a16:creationId xmlns="" xmlns:a16="http://schemas.microsoft.com/office/drawing/2014/main" id="{00000000-0008-0000-2200-00007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113" y="3729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2" name="Line 121">
              <a:extLst>
                <a:ext uri="{FF2B5EF4-FFF2-40B4-BE49-F238E27FC236}">
                  <a16:creationId xmlns="" xmlns:a16="http://schemas.microsoft.com/office/drawing/2014/main" id="{00000000-0008-0000-2200-00007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543" y="3729"/>
              <a:ext cx="0" cy="3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3" name="Rectangle 122">
              <a:extLst>
                <a:ext uri="{FF2B5EF4-FFF2-40B4-BE49-F238E27FC236}">
                  <a16:creationId xmlns="" xmlns:a16="http://schemas.microsoft.com/office/drawing/2014/main" id="{00000000-0008-0000-2200-00007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69" y="3759"/>
              <a:ext cx="148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120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24" name="Line 123">
              <a:extLst>
                <a:ext uri="{FF2B5EF4-FFF2-40B4-BE49-F238E27FC236}">
                  <a16:creationId xmlns="" xmlns:a16="http://schemas.microsoft.com/office/drawing/2014/main" id="{00000000-0008-0000-2200-00007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966" y="3729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5" name="Line 124">
              <a:extLst>
                <a:ext uri="{FF2B5EF4-FFF2-40B4-BE49-F238E27FC236}">
                  <a16:creationId xmlns="" xmlns:a16="http://schemas.microsoft.com/office/drawing/2014/main" id="{00000000-0008-0000-2200-00007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390" y="3729"/>
              <a:ext cx="0" cy="3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6" name="Rectangle 125">
              <a:extLst>
                <a:ext uri="{FF2B5EF4-FFF2-40B4-BE49-F238E27FC236}">
                  <a16:creationId xmlns="" xmlns:a16="http://schemas.microsoft.com/office/drawing/2014/main" id="{00000000-0008-0000-2200-00007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6" y="3759"/>
              <a:ext cx="148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140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27" name="Line 126">
              <a:extLst>
                <a:ext uri="{FF2B5EF4-FFF2-40B4-BE49-F238E27FC236}">
                  <a16:creationId xmlns="" xmlns:a16="http://schemas.microsoft.com/office/drawing/2014/main" id="{00000000-0008-0000-2200-00007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819" y="3729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8" name="Line 127">
              <a:extLst>
                <a:ext uri="{FF2B5EF4-FFF2-40B4-BE49-F238E27FC236}">
                  <a16:creationId xmlns="" xmlns:a16="http://schemas.microsoft.com/office/drawing/2014/main" id="{00000000-0008-0000-2200-00008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243" y="3729"/>
              <a:ext cx="0" cy="3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29" name="Rectangle 128">
              <a:extLst>
                <a:ext uri="{FF2B5EF4-FFF2-40B4-BE49-F238E27FC236}">
                  <a16:creationId xmlns="" xmlns:a16="http://schemas.microsoft.com/office/drawing/2014/main" id="{00000000-0008-0000-2200-00008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69" y="3759"/>
              <a:ext cx="148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160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30" name="Line 129">
              <a:extLst>
                <a:ext uri="{FF2B5EF4-FFF2-40B4-BE49-F238E27FC236}">
                  <a16:creationId xmlns="" xmlns:a16="http://schemas.microsoft.com/office/drawing/2014/main" id="{00000000-0008-0000-2200-00008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666" y="3729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31" name="Line 130">
              <a:extLst>
                <a:ext uri="{FF2B5EF4-FFF2-40B4-BE49-F238E27FC236}">
                  <a16:creationId xmlns="" xmlns:a16="http://schemas.microsoft.com/office/drawing/2014/main" id="{00000000-0008-0000-2200-00008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089" y="3729"/>
              <a:ext cx="0" cy="3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32" name="Rectangle 131">
              <a:extLst>
                <a:ext uri="{FF2B5EF4-FFF2-40B4-BE49-F238E27FC236}">
                  <a16:creationId xmlns="" xmlns:a16="http://schemas.microsoft.com/office/drawing/2014/main" id="{00000000-0008-0000-2200-00008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15" y="3759"/>
              <a:ext cx="148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180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33" name="Line 132">
              <a:extLst>
                <a:ext uri="{FF2B5EF4-FFF2-40B4-BE49-F238E27FC236}">
                  <a16:creationId xmlns="" xmlns:a16="http://schemas.microsoft.com/office/drawing/2014/main" id="{00000000-0008-0000-2200-00008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519" y="3729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34" name="Line 133">
              <a:extLst>
                <a:ext uri="{FF2B5EF4-FFF2-40B4-BE49-F238E27FC236}">
                  <a16:creationId xmlns="" xmlns:a16="http://schemas.microsoft.com/office/drawing/2014/main" id="{00000000-0008-0000-2200-00008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942" y="3729"/>
              <a:ext cx="0" cy="3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35" name="Rectangle 134">
              <a:extLst>
                <a:ext uri="{FF2B5EF4-FFF2-40B4-BE49-F238E27FC236}">
                  <a16:creationId xmlns="" xmlns:a16="http://schemas.microsoft.com/office/drawing/2014/main" id="{00000000-0008-0000-2200-00008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68" y="3759"/>
              <a:ext cx="148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200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36" name="Line 135">
              <a:extLst>
                <a:ext uri="{FF2B5EF4-FFF2-40B4-BE49-F238E27FC236}">
                  <a16:creationId xmlns="" xmlns:a16="http://schemas.microsoft.com/office/drawing/2014/main" id="{00000000-0008-0000-2200-00008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6" y="3729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37" name="Line 136">
              <a:extLst>
                <a:ext uri="{FF2B5EF4-FFF2-40B4-BE49-F238E27FC236}">
                  <a16:creationId xmlns="" xmlns:a16="http://schemas.microsoft.com/office/drawing/2014/main" id="{00000000-0008-0000-2200-00008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89" y="3729"/>
              <a:ext cx="0" cy="3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38" name="Rectangle 137">
              <a:extLst>
                <a:ext uri="{FF2B5EF4-FFF2-40B4-BE49-F238E27FC236}">
                  <a16:creationId xmlns="" xmlns:a16="http://schemas.microsoft.com/office/drawing/2014/main" id="{00000000-0008-0000-2200-00008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15" y="3759"/>
              <a:ext cx="148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220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39" name="Line 138">
              <a:extLst>
                <a:ext uri="{FF2B5EF4-FFF2-40B4-BE49-F238E27FC236}">
                  <a16:creationId xmlns="" xmlns:a16="http://schemas.microsoft.com/office/drawing/2014/main" id="{00000000-0008-0000-2200-00008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19" y="3729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140" name="Rectangle 139">
              <a:extLst>
                <a:ext uri="{FF2B5EF4-FFF2-40B4-BE49-F238E27FC236}">
                  <a16:creationId xmlns="" xmlns:a16="http://schemas.microsoft.com/office/drawing/2014/main" id="{00000000-0008-0000-2200-00008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94" y="3759"/>
              <a:ext cx="143" cy="9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0" tIns="0" rIns="0" bIns="0" numCol="1" anchor="t" anchorCtr="0" compatLnSpc="1">
              <a:prstTxWarp prst="textNoShape">
                <a:avLst/>
              </a:prstTxWarp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Arial" pitchFamily="34" charset="0"/>
                  <a:cs typeface="Arial" pitchFamily="34" charset="0"/>
                </a:rPr>
                <a:t>m/z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itchFamily="34" charset="0"/>
                <a:cs typeface="Arial" pitchFamily="34" charset="0"/>
              </a:endParaRPr>
            </a:p>
          </xdr:txBody>
        </xdr:sp>
      </xdr:grpSp>
      <xdr:grpSp>
        <xdr:nvGrpSpPr>
          <xdr:cNvPr id="4" name="Group 2">
            <a:extLst>
              <a:ext uri="{FF2B5EF4-FFF2-40B4-BE49-F238E27FC236}">
                <a16:creationId xmlns="" xmlns:a16="http://schemas.microsoft.com/office/drawing/2014/main" id="{00000000-0008-0000-2200-000004000000}"/>
              </a:ext>
            </a:extLst>
          </xdr:cNvPr>
          <xdr:cNvGrpSpPr/>
        </xdr:nvGrpSpPr>
        <xdr:grpSpPr>
          <a:xfrm>
            <a:off x="12725840" y="1558896"/>
            <a:ext cx="4751293" cy="2843403"/>
            <a:chOff x="11437165" y="2713103"/>
            <a:chExt cx="4751293" cy="2843403"/>
          </a:xfrm>
        </xdr:grpSpPr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00000000-0008-0000-2200-000005000000}"/>
                </a:ext>
              </a:extLst>
            </xdr:cNvPr>
            <xdr:cNvSpPr txBox="1"/>
          </xdr:nvSpPr>
          <xdr:spPr>
            <a:xfrm>
              <a:off x="11732558" y="2713103"/>
              <a:ext cx="4455900" cy="260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r"/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mass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spectra at max peak intensity of unlabeled Limonene peak from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NPP</a:t>
              </a:r>
              <a:r>
                <a:rPr lang="en-US"/>
                <a:t> </a:t>
              </a:r>
              <a:endParaRPr lang="en-US" sz="1100"/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id="{00000000-0008-0000-2200-000006000000}"/>
                </a:ext>
              </a:extLst>
            </xdr:cNvPr>
            <xdr:cNvSpPr txBox="1"/>
          </xdr:nvSpPr>
          <xdr:spPr>
            <a:xfrm>
              <a:off x="11437165" y="5296266"/>
              <a:ext cx="4751293" cy="260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mass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spectra at  max peak intensity of  labeled Limonene peak from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-GPP</a:t>
              </a:r>
              <a:endParaRPr lang="en-US" sz="1100"/>
            </a:p>
          </xdr:txBody>
        </xdr:sp>
      </xdr:grpSp>
    </xdr:grpSp>
    <xdr:clientData/>
  </xdr:twoCellAnchor>
  <xdr:twoCellAnchor editAs="oneCell">
    <xdr:from>
      <xdr:col>0</xdr:col>
      <xdr:colOff>0</xdr:colOff>
      <xdr:row>109</xdr:row>
      <xdr:rowOff>0</xdr:rowOff>
    </xdr:from>
    <xdr:to>
      <xdr:col>7</xdr:col>
      <xdr:colOff>225368</xdr:colOff>
      <xdr:row>115</xdr:row>
      <xdr:rowOff>69694</xdr:rowOff>
    </xdr:to>
    <xdr:pic>
      <xdr:nvPicPr>
        <xdr:cNvPr id="141" name="Picture 140">
          <a:extLst>
            <a:ext uri="{FF2B5EF4-FFF2-40B4-BE49-F238E27FC236}">
              <a16:creationId xmlns="" xmlns:a16="http://schemas.microsoft.com/office/drawing/2014/main" id="{00000000-0008-0000-2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888325"/>
          <a:ext cx="8435918" cy="12126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6</xdr:col>
      <xdr:colOff>663234</xdr:colOff>
      <xdr:row>146</xdr:row>
      <xdr:rowOff>11874</xdr:rowOff>
    </xdr:to>
    <xdr:pic>
      <xdr:nvPicPr>
        <xdr:cNvPr id="142" name="Picture 141">
          <a:extLst>
            <a:ext uri="{FF2B5EF4-FFF2-40B4-BE49-F238E27FC236}">
              <a16:creationId xmlns="" xmlns:a16="http://schemas.microsoft.com/office/drawing/2014/main" id="{00000000-0008-0000-22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889075"/>
          <a:ext cx="7292634" cy="1154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workbookViewId="0">
      <selection activeCell="B208" sqref="B208"/>
    </sheetView>
  </sheetViews>
  <sheetFormatPr defaultRowHeight="14.4" x14ac:dyDescent="0.3"/>
  <cols>
    <col min="1" max="1" width="17" bestFit="1" customWidth="1"/>
    <col min="2" max="2" width="12" bestFit="1" customWidth="1"/>
    <col min="3" max="3" width="10.44140625" bestFit="1" customWidth="1"/>
    <col min="4" max="4" width="10.5546875" bestFit="1" customWidth="1"/>
    <col min="7" max="7" width="11.44140625" bestFit="1" customWidth="1"/>
    <col min="8" max="8" width="12" bestFit="1" customWidth="1"/>
    <col min="9" max="9" width="10.44140625" bestFit="1" customWidth="1"/>
    <col min="10" max="10" width="10.5546875" bestFit="1" customWidth="1"/>
  </cols>
  <sheetData>
    <row r="1" spans="1:11" x14ac:dyDescent="0.3">
      <c r="A1" s="1" t="s">
        <v>77</v>
      </c>
      <c r="B1" s="1"/>
      <c r="E1" s="14"/>
      <c r="K1" s="14"/>
    </row>
    <row r="2" spans="1:11" ht="16.8" x14ac:dyDescent="0.35">
      <c r="A2" s="1"/>
      <c r="B2" s="209" t="s">
        <v>348</v>
      </c>
      <c r="C2" s="209"/>
      <c r="D2" s="209"/>
      <c r="E2" s="207" t="s">
        <v>4</v>
      </c>
      <c r="H2" s="209" t="s">
        <v>348</v>
      </c>
      <c r="I2" s="209"/>
      <c r="J2" s="209"/>
      <c r="K2" s="207" t="s">
        <v>4</v>
      </c>
    </row>
    <row r="3" spans="1:11" x14ac:dyDescent="0.3">
      <c r="A3" t="s">
        <v>78</v>
      </c>
      <c r="B3" t="s">
        <v>7</v>
      </c>
      <c r="C3" t="s">
        <v>8</v>
      </c>
      <c r="D3" t="s">
        <v>9</v>
      </c>
      <c r="E3" s="207"/>
      <c r="G3" t="s">
        <v>79</v>
      </c>
      <c r="H3" t="s">
        <v>7</v>
      </c>
      <c r="I3" t="s">
        <v>8</v>
      </c>
      <c r="J3" t="s">
        <v>9</v>
      </c>
      <c r="K3" s="207"/>
    </row>
    <row r="4" spans="1:11" x14ac:dyDescent="0.3">
      <c r="A4">
        <v>1</v>
      </c>
      <c r="B4">
        <v>0.23549999999999999</v>
      </c>
      <c r="C4">
        <v>0.5171</v>
      </c>
      <c r="D4">
        <v>0.39240000000000003</v>
      </c>
      <c r="E4" s="15">
        <f>(B4+C4+D4)/3</f>
        <v>0.38166666666666665</v>
      </c>
      <c r="F4" s="13"/>
      <c r="G4">
        <v>1</v>
      </c>
      <c r="H4" s="13">
        <v>9.7500000000000003E-2</v>
      </c>
      <c r="I4">
        <v>0.21709999999999999</v>
      </c>
      <c r="J4">
        <v>0.1545</v>
      </c>
      <c r="K4" s="15">
        <f>(H4+I4+J4)/3</f>
        <v>0.15636666666666665</v>
      </c>
    </row>
    <row r="5" spans="1:11" x14ac:dyDescent="0.3">
      <c r="A5">
        <v>2</v>
      </c>
      <c r="B5">
        <v>0.81520000000000004</v>
      </c>
      <c r="C5">
        <v>0.46510000000000001</v>
      </c>
      <c r="D5">
        <v>0.63759999999999994</v>
      </c>
      <c r="E5" s="15">
        <f t="shared" ref="E5:E13" si="0">(B5+C5+D5)/3</f>
        <v>0.63929999999999998</v>
      </c>
      <c r="F5" s="13"/>
      <c r="G5">
        <v>2</v>
      </c>
      <c r="H5" s="13">
        <v>0.1285</v>
      </c>
      <c r="I5" s="13">
        <v>0.25340000000000001</v>
      </c>
      <c r="J5" s="13">
        <v>0.17910000000000001</v>
      </c>
      <c r="K5" s="15">
        <f t="shared" ref="K5:K13" si="1">(H5+I5+J5)/3</f>
        <v>0.18700000000000003</v>
      </c>
    </row>
    <row r="6" spans="1:11" x14ac:dyDescent="0.3">
      <c r="A6">
        <v>4</v>
      </c>
      <c r="B6">
        <v>0.90359999999999996</v>
      </c>
      <c r="C6">
        <v>1.7063999999999999</v>
      </c>
      <c r="D6">
        <v>1.1283000000000001</v>
      </c>
      <c r="E6" s="15">
        <f t="shared" si="0"/>
        <v>1.2461</v>
      </c>
      <c r="F6" s="13"/>
      <c r="G6">
        <v>4</v>
      </c>
      <c r="H6" s="13">
        <v>0.51049999999999995</v>
      </c>
      <c r="I6" s="13">
        <v>0.35110000000000002</v>
      </c>
      <c r="J6" s="13">
        <v>0.40179999999999999</v>
      </c>
      <c r="K6" s="15">
        <f t="shared" si="1"/>
        <v>0.4211333333333333</v>
      </c>
    </row>
    <row r="7" spans="1:11" x14ac:dyDescent="0.3">
      <c r="A7">
        <v>8</v>
      </c>
      <c r="B7">
        <v>1.4242999999999999</v>
      </c>
      <c r="C7">
        <v>1.0882000000000001</v>
      </c>
      <c r="D7">
        <v>1.8741000000000001</v>
      </c>
      <c r="E7" s="15">
        <f t="shared" si="0"/>
        <v>1.4622000000000002</v>
      </c>
      <c r="F7" s="13"/>
      <c r="G7">
        <v>8</v>
      </c>
      <c r="H7" s="13">
        <v>0.85570000000000002</v>
      </c>
      <c r="I7" s="13">
        <v>1.2874000000000001</v>
      </c>
      <c r="J7" s="13">
        <v>1.0973999999999999</v>
      </c>
      <c r="K7" s="15">
        <f t="shared" si="1"/>
        <v>1.0801666666666667</v>
      </c>
    </row>
    <row r="8" spans="1:11" x14ac:dyDescent="0.3">
      <c r="A8">
        <v>15</v>
      </c>
      <c r="B8">
        <v>1.1976</v>
      </c>
      <c r="C8">
        <v>1.7839</v>
      </c>
      <c r="D8">
        <v>2.5688</v>
      </c>
      <c r="E8" s="15">
        <f t="shared" si="0"/>
        <v>1.8501000000000001</v>
      </c>
      <c r="F8" s="13"/>
      <c r="G8">
        <v>15</v>
      </c>
      <c r="H8" s="13">
        <v>1.9553</v>
      </c>
      <c r="I8" s="13">
        <v>1.1521999999999999</v>
      </c>
      <c r="J8" s="13">
        <v>1.6227</v>
      </c>
      <c r="K8" s="15">
        <f t="shared" si="1"/>
        <v>1.5767333333333333</v>
      </c>
    </row>
    <row r="9" spans="1:11" x14ac:dyDescent="0.3">
      <c r="A9">
        <v>20</v>
      </c>
      <c r="B9">
        <v>2.7143999999999999</v>
      </c>
      <c r="C9">
        <v>2.0367000000000002</v>
      </c>
      <c r="D9">
        <v>1.2382</v>
      </c>
      <c r="E9" s="15">
        <f t="shared" si="0"/>
        <v>1.9964333333333333</v>
      </c>
      <c r="F9" s="13"/>
      <c r="G9">
        <v>20</v>
      </c>
      <c r="H9" s="13">
        <v>1.3097000000000001</v>
      </c>
      <c r="I9" s="13">
        <v>2.4373</v>
      </c>
      <c r="J9" s="13">
        <v>1.9946999999999999</v>
      </c>
      <c r="K9" s="15">
        <f t="shared" si="1"/>
        <v>1.9138999999999999</v>
      </c>
    </row>
    <row r="10" spans="1:11" x14ac:dyDescent="0.3">
      <c r="A10">
        <v>25</v>
      </c>
      <c r="B10">
        <v>2.5123000000000002</v>
      </c>
      <c r="C10">
        <v>3.1414</v>
      </c>
      <c r="D10">
        <v>2.1924999999999999</v>
      </c>
      <c r="E10" s="15">
        <f t="shared" si="0"/>
        <v>2.6154000000000002</v>
      </c>
      <c r="F10" s="13"/>
      <c r="G10">
        <v>25</v>
      </c>
      <c r="H10" s="13">
        <v>3.2263000000000002</v>
      </c>
      <c r="I10" s="13">
        <v>2.2589000000000001</v>
      </c>
      <c r="J10" s="13">
        <v>2.5798000000000001</v>
      </c>
      <c r="K10" s="15">
        <f t="shared" si="1"/>
        <v>2.6883333333333339</v>
      </c>
    </row>
    <row r="11" spans="1:11" x14ac:dyDescent="0.3">
      <c r="A11">
        <v>30</v>
      </c>
      <c r="B11">
        <v>3.2827000000000002</v>
      </c>
      <c r="C11">
        <v>2.7570999999999999</v>
      </c>
      <c r="D11">
        <v>3.0796000000000001</v>
      </c>
      <c r="E11" s="15">
        <f t="shared" si="0"/>
        <v>3.0397999999999996</v>
      </c>
      <c r="F11" s="13"/>
      <c r="G11">
        <v>30</v>
      </c>
      <c r="H11" s="13">
        <v>3.8439000000000001</v>
      </c>
      <c r="I11" s="13">
        <v>2.7818999999999998</v>
      </c>
      <c r="J11" s="13">
        <v>3.4569000000000001</v>
      </c>
      <c r="K11" s="15">
        <f t="shared" si="1"/>
        <v>3.3608999999999996</v>
      </c>
    </row>
    <row r="12" spans="1:11" x14ac:dyDescent="0.3">
      <c r="A12">
        <v>50</v>
      </c>
      <c r="B12">
        <v>4.3158000000000003</v>
      </c>
      <c r="C12">
        <v>3.2054999999999998</v>
      </c>
      <c r="D12">
        <v>3.9487000000000001</v>
      </c>
      <c r="E12" s="15">
        <f t="shared" si="0"/>
        <v>3.8233333333333337</v>
      </c>
      <c r="F12" s="13"/>
      <c r="G12">
        <v>50</v>
      </c>
      <c r="H12" s="13">
        <v>4.1517999999999997</v>
      </c>
      <c r="I12" s="13">
        <v>5.3017000000000003</v>
      </c>
      <c r="J12" s="13">
        <v>4.6651999999999996</v>
      </c>
      <c r="K12" s="15">
        <f t="shared" si="1"/>
        <v>4.7062333333333335</v>
      </c>
    </row>
    <row r="13" spans="1:11" x14ac:dyDescent="0.3">
      <c r="A13">
        <v>70</v>
      </c>
      <c r="B13">
        <v>4.6135999999999999</v>
      </c>
      <c r="C13">
        <v>4.0209000000000001</v>
      </c>
      <c r="D13">
        <v>3.6078999999999999</v>
      </c>
      <c r="E13" s="15">
        <f t="shared" si="0"/>
        <v>4.0808</v>
      </c>
      <c r="F13" s="13"/>
      <c r="G13">
        <v>70</v>
      </c>
      <c r="H13" s="13">
        <v>5.5401999999999996</v>
      </c>
      <c r="I13" s="13">
        <v>5.0399000000000003</v>
      </c>
      <c r="J13" s="13">
        <v>4.8569000000000004</v>
      </c>
      <c r="K13" s="15">
        <f t="shared" si="1"/>
        <v>5.1456666666666671</v>
      </c>
    </row>
    <row r="14" spans="1:11" x14ac:dyDescent="0.3">
      <c r="E14" s="14"/>
      <c r="K14" s="14"/>
    </row>
    <row r="15" spans="1:11" ht="15.6" x14ac:dyDescent="0.35">
      <c r="A15" s="16" t="s">
        <v>80</v>
      </c>
      <c r="B15" s="13">
        <v>26.119800000000001</v>
      </c>
      <c r="C15" t="s">
        <v>81</v>
      </c>
      <c r="D15" t="s">
        <v>141</v>
      </c>
      <c r="E15" s="14"/>
      <c r="G15" s="16" t="s">
        <v>80</v>
      </c>
      <c r="H15" s="13">
        <v>89.465500000000006</v>
      </c>
      <c r="I15" t="s">
        <v>83</v>
      </c>
      <c r="J15" t="s">
        <v>141</v>
      </c>
      <c r="K15" s="14"/>
    </row>
    <row r="16" spans="1:11" ht="16.8" x14ac:dyDescent="0.35">
      <c r="A16" s="16" t="s">
        <v>84</v>
      </c>
      <c r="B16" s="13">
        <v>5.56243</v>
      </c>
      <c r="C16" t="s">
        <v>85</v>
      </c>
      <c r="D16" t="s">
        <v>144</v>
      </c>
      <c r="E16" s="14"/>
      <c r="G16" s="16" t="s">
        <v>84</v>
      </c>
      <c r="H16" s="13">
        <v>12.2502</v>
      </c>
      <c r="I16" t="s">
        <v>86</v>
      </c>
      <c r="J16" t="s">
        <v>144</v>
      </c>
      <c r="K16" s="14"/>
    </row>
    <row r="17" spans="1:11" ht="16.8" x14ac:dyDescent="0.35">
      <c r="A17" s="17" t="s">
        <v>87</v>
      </c>
      <c r="B17" s="13">
        <f>B16/B15</f>
        <v>0.21295836874708074</v>
      </c>
      <c r="D17" t="s">
        <v>325</v>
      </c>
      <c r="E17" s="14"/>
      <c r="G17" s="17" t="s">
        <v>87</v>
      </c>
      <c r="H17" s="13">
        <f>H16/H15</f>
        <v>0.13692652474976386</v>
      </c>
      <c r="J17" t="s">
        <v>325</v>
      </c>
      <c r="K17" s="14"/>
    </row>
    <row r="18" spans="1:11" x14ac:dyDescent="0.3">
      <c r="E18" s="14"/>
      <c r="K18" s="14"/>
    </row>
    <row r="19" spans="1:11" x14ac:dyDescent="0.3">
      <c r="E19" s="14"/>
      <c r="K19" s="14"/>
    </row>
    <row r="20" spans="1:11" x14ac:dyDescent="0.3">
      <c r="A20" s="1" t="s">
        <v>88</v>
      </c>
      <c r="E20" s="14"/>
      <c r="K20" s="14"/>
    </row>
    <row r="21" spans="1:11" ht="16.8" x14ac:dyDescent="0.35">
      <c r="A21" s="1"/>
      <c r="B21" s="209" t="s">
        <v>348</v>
      </c>
      <c r="C21" s="209"/>
      <c r="D21" s="209"/>
      <c r="E21" s="207" t="s">
        <v>4</v>
      </c>
      <c r="H21" s="209" t="s">
        <v>348</v>
      </c>
      <c r="I21" s="209"/>
      <c r="J21" s="209"/>
      <c r="K21" s="207" t="s">
        <v>4</v>
      </c>
    </row>
    <row r="22" spans="1:11" x14ac:dyDescent="0.3">
      <c r="A22" t="s">
        <v>78</v>
      </c>
      <c r="B22" t="s">
        <v>7</v>
      </c>
      <c r="C22" t="s">
        <v>8</v>
      </c>
      <c r="D22" t="s">
        <v>9</v>
      </c>
      <c r="E22" s="207"/>
      <c r="G22" t="s">
        <v>79</v>
      </c>
      <c r="H22" t="s">
        <v>7</v>
      </c>
      <c r="I22" t="s">
        <v>8</v>
      </c>
      <c r="J22" t="s">
        <v>9</v>
      </c>
      <c r="K22" s="207"/>
    </row>
    <row r="23" spans="1:11" x14ac:dyDescent="0.3">
      <c r="A23">
        <v>1</v>
      </c>
      <c r="B23" s="13">
        <v>3.2889999999999998E-3</v>
      </c>
      <c r="C23" s="13">
        <v>4.8580000000000003E-3</v>
      </c>
      <c r="D23" s="13">
        <v>6.7879999999999998E-3</v>
      </c>
      <c r="E23" s="15">
        <f>(B23+C23+D23)/3</f>
        <v>4.9783333333333337E-3</v>
      </c>
      <c r="G23">
        <v>1</v>
      </c>
      <c r="H23" s="13">
        <v>7.5209999999999999E-3</v>
      </c>
      <c r="I23" s="13">
        <v>8.9320000000000007E-3</v>
      </c>
      <c r="J23" s="13">
        <v>1.3526E-2</v>
      </c>
      <c r="K23" s="15">
        <f>(H23+I23+J23)/3</f>
        <v>9.9930000000000001E-3</v>
      </c>
    </row>
    <row r="24" spans="1:11" x14ac:dyDescent="0.3">
      <c r="A24">
        <v>2</v>
      </c>
      <c r="B24" s="13">
        <v>3.031E-2</v>
      </c>
      <c r="C24" s="13">
        <v>2.2561000000000001E-2</v>
      </c>
      <c r="D24" s="13">
        <v>1.9640000000000001E-2</v>
      </c>
      <c r="E24" s="15">
        <f t="shared" ref="E24:E32" si="2">(B24+C24+D24)/3</f>
        <v>2.4170333333333335E-2</v>
      </c>
      <c r="G24">
        <v>2</v>
      </c>
      <c r="H24" s="13">
        <v>3.2224000000000003E-2</v>
      </c>
      <c r="I24" s="13">
        <v>1.9387000000000001E-2</v>
      </c>
      <c r="J24" s="13">
        <v>2.3486E-2</v>
      </c>
      <c r="K24" s="15">
        <f t="shared" ref="K24:K32" si="3">(H24+I24+J24)/3</f>
        <v>2.5032333333333334E-2</v>
      </c>
    </row>
    <row r="25" spans="1:11" x14ac:dyDescent="0.3">
      <c r="A25">
        <v>4</v>
      </c>
      <c r="B25" s="13">
        <v>4.428E-2</v>
      </c>
      <c r="C25" s="13">
        <v>3.1579999999999997E-2</v>
      </c>
      <c r="D25" s="13">
        <v>3.8190000000000002E-2</v>
      </c>
      <c r="E25" s="15">
        <f t="shared" si="2"/>
        <v>3.8016666666666664E-2</v>
      </c>
      <c r="G25">
        <v>4</v>
      </c>
      <c r="H25" s="13">
        <v>7.1209999999999996E-2</v>
      </c>
      <c r="I25" s="13">
        <v>4.8510999999999999E-2</v>
      </c>
      <c r="J25" s="13">
        <v>5.7411999999999998E-2</v>
      </c>
      <c r="K25" s="15">
        <f t="shared" si="3"/>
        <v>5.9044333333333331E-2</v>
      </c>
    </row>
    <row r="26" spans="1:11" x14ac:dyDescent="0.3">
      <c r="A26">
        <v>8</v>
      </c>
      <c r="B26" s="13">
        <v>7.6469999999999996E-2</v>
      </c>
      <c r="C26" s="13">
        <v>7.0510000000000003E-2</v>
      </c>
      <c r="D26" s="13">
        <v>8.3739999999999995E-2</v>
      </c>
      <c r="E26" s="15">
        <f t="shared" si="2"/>
        <v>7.6906666666666665E-2</v>
      </c>
      <c r="G26">
        <v>8</v>
      </c>
      <c r="H26" s="13">
        <v>9.9741999999999997E-2</v>
      </c>
      <c r="I26" s="13">
        <v>9.4241000000000005E-2</v>
      </c>
      <c r="J26" s="13">
        <v>0.12175</v>
      </c>
      <c r="K26" s="15">
        <f t="shared" si="3"/>
        <v>0.10524433333333334</v>
      </c>
    </row>
    <row r="27" spans="1:11" x14ac:dyDescent="0.3">
      <c r="A27">
        <v>15</v>
      </c>
      <c r="B27" s="13">
        <v>8.0810000000000007E-2</v>
      </c>
      <c r="C27" s="13">
        <v>0.14210999999999999</v>
      </c>
      <c r="D27" s="13">
        <v>0.12451</v>
      </c>
      <c r="E27" s="15">
        <f t="shared" si="2"/>
        <v>0.11581000000000001</v>
      </c>
      <c r="G27">
        <v>15</v>
      </c>
      <c r="H27" s="13">
        <v>0.195301</v>
      </c>
      <c r="I27" s="13">
        <v>0.215971</v>
      </c>
      <c r="J27" s="13">
        <v>0.19978099999999999</v>
      </c>
      <c r="K27" s="15">
        <f t="shared" si="3"/>
        <v>0.20368433333333333</v>
      </c>
    </row>
    <row r="28" spans="1:11" x14ac:dyDescent="0.3">
      <c r="A28">
        <v>20</v>
      </c>
      <c r="B28" s="13">
        <v>0.15040999999999999</v>
      </c>
      <c r="C28" s="13">
        <v>0.10047</v>
      </c>
      <c r="D28" s="13">
        <v>0.17168</v>
      </c>
      <c r="E28" s="15">
        <f t="shared" si="2"/>
        <v>0.14085333333333333</v>
      </c>
      <c r="G28">
        <v>20</v>
      </c>
      <c r="H28" s="13">
        <v>0.25501000000000001</v>
      </c>
      <c r="I28" s="13">
        <v>0.20907100000000001</v>
      </c>
      <c r="J28" s="13">
        <v>0.32227</v>
      </c>
      <c r="K28" s="15">
        <f t="shared" si="3"/>
        <v>0.26211699999999999</v>
      </c>
    </row>
    <row r="29" spans="1:11" x14ac:dyDescent="0.3">
      <c r="A29">
        <v>25</v>
      </c>
      <c r="B29" s="13">
        <v>0.22417999999999999</v>
      </c>
      <c r="C29" s="13">
        <v>0.14224999999999999</v>
      </c>
      <c r="D29" s="13">
        <v>0.20476</v>
      </c>
      <c r="E29" s="15">
        <f t="shared" si="2"/>
        <v>0.19039666666666666</v>
      </c>
      <c r="G29">
        <v>25</v>
      </c>
      <c r="H29" s="13">
        <v>0.33121499999999998</v>
      </c>
      <c r="I29" s="13">
        <v>0.23813599999999999</v>
      </c>
      <c r="J29" s="13">
        <v>0.309946</v>
      </c>
      <c r="K29" s="15">
        <f t="shared" si="3"/>
        <v>0.293099</v>
      </c>
    </row>
    <row r="30" spans="1:11" x14ac:dyDescent="0.3">
      <c r="A30">
        <v>30</v>
      </c>
      <c r="B30" s="13">
        <v>0.25540000000000002</v>
      </c>
      <c r="C30" s="13">
        <v>0.13918</v>
      </c>
      <c r="D30" s="13">
        <v>0.14448</v>
      </c>
      <c r="E30" s="15">
        <f t="shared" si="2"/>
        <v>0.17968666666666669</v>
      </c>
      <c r="G30">
        <v>30</v>
      </c>
      <c r="H30" s="13">
        <v>0.45587</v>
      </c>
      <c r="I30" s="13">
        <v>0.30902499999999999</v>
      </c>
      <c r="J30" s="13">
        <v>0.37512499999999999</v>
      </c>
      <c r="K30" s="15">
        <f t="shared" si="3"/>
        <v>0.38000666666666666</v>
      </c>
    </row>
    <row r="31" spans="1:11" x14ac:dyDescent="0.3">
      <c r="A31">
        <v>50</v>
      </c>
      <c r="B31" s="13">
        <v>0.31569999999999998</v>
      </c>
      <c r="C31" s="13">
        <v>0.23022000000000001</v>
      </c>
      <c r="D31" s="13">
        <v>0.18199000000000001</v>
      </c>
      <c r="E31" s="15">
        <f>(B31+C31+D31)/3</f>
        <v>0.24263666666666664</v>
      </c>
      <c r="G31">
        <v>50</v>
      </c>
      <c r="H31" s="13">
        <v>0.46439999999999998</v>
      </c>
      <c r="I31" s="13">
        <v>0.52317999999999998</v>
      </c>
      <c r="J31" s="13">
        <v>0.35719000000000001</v>
      </c>
      <c r="K31" s="15">
        <f t="shared" si="3"/>
        <v>0.44825666666666669</v>
      </c>
    </row>
    <row r="32" spans="1:11" x14ac:dyDescent="0.3">
      <c r="A32">
        <v>70</v>
      </c>
      <c r="B32" s="13">
        <v>0.25180000000000002</v>
      </c>
      <c r="C32" s="13">
        <v>0.3014</v>
      </c>
      <c r="D32" s="13">
        <v>0.19126000000000001</v>
      </c>
      <c r="E32" s="15">
        <f t="shared" si="2"/>
        <v>0.24815333333333334</v>
      </c>
      <c r="G32">
        <v>70</v>
      </c>
      <c r="H32" s="13">
        <v>0.42802000000000001</v>
      </c>
      <c r="I32" s="13">
        <v>0.58801999999999999</v>
      </c>
      <c r="J32" s="13">
        <v>0.35870999999999997</v>
      </c>
      <c r="K32" s="15">
        <f t="shared" si="3"/>
        <v>0.45825000000000005</v>
      </c>
    </row>
    <row r="33" spans="1:11" x14ac:dyDescent="0.3">
      <c r="E33" s="14"/>
      <c r="K33" s="14"/>
    </row>
    <row r="34" spans="1:11" ht="15.6" x14ac:dyDescent="0.35">
      <c r="A34" s="16" t="s">
        <v>80</v>
      </c>
      <c r="B34" s="13">
        <v>29.935199999999998</v>
      </c>
      <c r="C34" t="s">
        <v>89</v>
      </c>
      <c r="D34" t="s">
        <v>141</v>
      </c>
      <c r="E34" s="14"/>
      <c r="G34" s="16" t="s">
        <v>80</v>
      </c>
      <c r="H34">
        <v>37.478900000000003</v>
      </c>
      <c r="I34" t="s">
        <v>90</v>
      </c>
      <c r="J34" t="s">
        <v>141</v>
      </c>
      <c r="K34" s="14"/>
    </row>
    <row r="35" spans="1:11" ht="16.8" x14ac:dyDescent="0.35">
      <c r="A35" s="16" t="s">
        <v>84</v>
      </c>
      <c r="B35" s="13">
        <v>0.36998799999999998</v>
      </c>
      <c r="C35" t="s">
        <v>91</v>
      </c>
      <c r="D35" t="s">
        <v>144</v>
      </c>
      <c r="E35" s="14"/>
      <c r="G35" s="16" t="s">
        <v>84</v>
      </c>
      <c r="H35">
        <v>0.74990000000000001</v>
      </c>
      <c r="I35" t="s">
        <v>92</v>
      </c>
      <c r="J35" t="s">
        <v>144</v>
      </c>
      <c r="K35" s="14"/>
    </row>
    <row r="36" spans="1:11" ht="16.8" x14ac:dyDescent="0.35">
      <c r="A36" s="17" t="s">
        <v>87</v>
      </c>
      <c r="B36" s="13">
        <f>B35/B34</f>
        <v>1.2359630134423689E-2</v>
      </c>
      <c r="D36" t="s">
        <v>325</v>
      </c>
      <c r="E36" s="14"/>
      <c r="G36" s="17" t="s">
        <v>87</v>
      </c>
      <c r="H36" s="13">
        <f>H35/H34</f>
        <v>2.0008591500817793E-2</v>
      </c>
      <c r="J36" t="s">
        <v>325</v>
      </c>
      <c r="K36" s="14"/>
    </row>
    <row r="37" spans="1:11" x14ac:dyDescent="0.3">
      <c r="E37" s="14"/>
      <c r="K37" s="14"/>
    </row>
    <row r="38" spans="1:11" x14ac:dyDescent="0.3">
      <c r="E38" s="14"/>
      <c r="K38" s="14"/>
    </row>
    <row r="39" spans="1:11" x14ac:dyDescent="0.3">
      <c r="A39" s="1" t="s">
        <v>93</v>
      </c>
      <c r="E39" s="14"/>
      <c r="K39" s="14"/>
    </row>
    <row r="40" spans="1:11" ht="16.8" x14ac:dyDescent="0.35">
      <c r="A40" s="1"/>
      <c r="B40" s="209" t="s">
        <v>348</v>
      </c>
      <c r="C40" s="209"/>
      <c r="D40" s="209"/>
      <c r="E40" s="207" t="s">
        <v>4</v>
      </c>
      <c r="H40" s="209" t="s">
        <v>348</v>
      </c>
      <c r="I40" s="209"/>
      <c r="J40" s="209"/>
      <c r="K40" s="207" t="s">
        <v>4</v>
      </c>
    </row>
    <row r="41" spans="1:11" x14ac:dyDescent="0.3">
      <c r="A41" t="s">
        <v>78</v>
      </c>
      <c r="B41" t="s">
        <v>7</v>
      </c>
      <c r="C41" t="s">
        <v>8</v>
      </c>
      <c r="D41" t="s">
        <v>9</v>
      </c>
      <c r="E41" s="207"/>
      <c r="G41" t="s">
        <v>79</v>
      </c>
      <c r="H41" t="s">
        <v>7</v>
      </c>
      <c r="I41" t="s">
        <v>8</v>
      </c>
      <c r="J41" t="s">
        <v>9</v>
      </c>
      <c r="K41" s="207"/>
    </row>
    <row r="42" spans="1:11" x14ac:dyDescent="0.3">
      <c r="A42">
        <v>1</v>
      </c>
      <c r="B42" s="13">
        <v>1.6639999999999999E-2</v>
      </c>
      <c r="C42" s="13">
        <v>2.8140999999999999E-2</v>
      </c>
      <c r="D42" s="13">
        <v>2.1454999999999998E-2</v>
      </c>
      <c r="E42" s="15">
        <f>(B42+C42+D42)/3</f>
        <v>2.2078666666666667E-2</v>
      </c>
      <c r="G42">
        <v>1</v>
      </c>
      <c r="H42" s="13">
        <v>2.9951999999999999E-3</v>
      </c>
      <c r="I42" s="13">
        <v>3.6955999999999998E-3</v>
      </c>
      <c r="J42" s="13">
        <v>1.9732E-3</v>
      </c>
      <c r="K42" s="15">
        <f>(H42+I42+J42)/3</f>
        <v>2.8879999999999999E-3</v>
      </c>
    </row>
    <row r="43" spans="1:11" x14ac:dyDescent="0.3">
      <c r="A43">
        <v>2</v>
      </c>
      <c r="B43" s="13">
        <v>5.1470000000000002E-2</v>
      </c>
      <c r="C43" s="13">
        <v>4.3229999999999998E-2</v>
      </c>
      <c r="D43" s="13">
        <v>6.1420000000000002E-2</v>
      </c>
      <c r="E43" s="15">
        <f t="shared" ref="E43:E51" si="4">(B43+C43+D43)/3</f>
        <v>5.2040000000000003E-2</v>
      </c>
      <c r="G43">
        <v>2</v>
      </c>
      <c r="H43" s="13">
        <v>8.2260000000000007E-3</v>
      </c>
      <c r="I43" s="13">
        <v>6.0219999999999996E-3</v>
      </c>
      <c r="J43" s="13">
        <v>6.9892000000000001E-3</v>
      </c>
      <c r="K43" s="15">
        <f t="shared" ref="K43:K51" si="5">(H43+I43+J43)/3</f>
        <v>7.0790666666666674E-3</v>
      </c>
    </row>
    <row r="44" spans="1:11" x14ac:dyDescent="0.3">
      <c r="A44">
        <v>4</v>
      </c>
      <c r="B44" s="13">
        <v>9.2869999999999994E-2</v>
      </c>
      <c r="C44" s="13">
        <v>0.11541999999999999</v>
      </c>
      <c r="D44" s="13">
        <v>0.10886999999999999</v>
      </c>
      <c r="E44" s="15">
        <f t="shared" si="4"/>
        <v>0.10571999999999999</v>
      </c>
      <c r="G44">
        <v>4</v>
      </c>
      <c r="H44" s="13">
        <v>9.1740999999999993E-3</v>
      </c>
      <c r="I44" s="13">
        <v>1.3521999999999999E-2</v>
      </c>
      <c r="J44" s="13">
        <v>8.8039999999999993E-3</v>
      </c>
      <c r="K44" s="15">
        <f t="shared" si="5"/>
        <v>1.0500033333333332E-2</v>
      </c>
    </row>
    <row r="45" spans="1:11" x14ac:dyDescent="0.3">
      <c r="A45">
        <v>8</v>
      </c>
      <c r="B45" s="13">
        <v>0.29587999999999998</v>
      </c>
      <c r="C45" s="13">
        <v>0.19392999999999999</v>
      </c>
      <c r="D45" s="13">
        <v>0.21196999999999999</v>
      </c>
      <c r="E45" s="15">
        <f t="shared" si="4"/>
        <v>0.23392666666666664</v>
      </c>
      <c r="G45">
        <v>8</v>
      </c>
      <c r="H45" s="13">
        <v>2.4126999999999999E-2</v>
      </c>
      <c r="I45" s="13">
        <v>1.4635E-2</v>
      </c>
      <c r="J45" s="13">
        <v>9.9699999999999997E-3</v>
      </c>
      <c r="K45" s="15">
        <f t="shared" si="5"/>
        <v>1.6243999999999998E-2</v>
      </c>
    </row>
    <row r="46" spans="1:11" x14ac:dyDescent="0.3">
      <c r="A46">
        <v>15</v>
      </c>
      <c r="B46" s="13">
        <v>0.42587000000000003</v>
      </c>
      <c r="C46" s="13">
        <v>0.30807200000000001</v>
      </c>
      <c r="D46" s="13">
        <v>0.29870999999999998</v>
      </c>
      <c r="E46" s="15">
        <f t="shared" si="4"/>
        <v>0.34421733333333338</v>
      </c>
      <c r="G46">
        <v>15</v>
      </c>
      <c r="H46" s="13">
        <v>4.3138999999999997E-2</v>
      </c>
      <c r="I46" s="13">
        <v>3.0938E-2</v>
      </c>
      <c r="J46" s="13">
        <v>4.1523999999999998E-2</v>
      </c>
      <c r="K46" s="15">
        <f t="shared" si="5"/>
        <v>3.8533666666666667E-2</v>
      </c>
    </row>
    <row r="47" spans="1:11" x14ac:dyDescent="0.3">
      <c r="A47">
        <v>20</v>
      </c>
      <c r="B47" s="13">
        <v>0.23594000000000001</v>
      </c>
      <c r="C47" s="13">
        <v>0.68079999999999996</v>
      </c>
      <c r="D47" s="13">
        <v>0.51239999999999997</v>
      </c>
      <c r="E47" s="15">
        <f t="shared" si="4"/>
        <v>0.47637999999999997</v>
      </c>
      <c r="G47">
        <v>20</v>
      </c>
      <c r="H47" s="13">
        <v>5.1279999999999999E-2</v>
      </c>
      <c r="I47" s="13">
        <v>3.2156999999999998E-2</v>
      </c>
      <c r="J47" s="13">
        <v>4.1215000000000002E-2</v>
      </c>
      <c r="K47" s="15">
        <f t="shared" si="5"/>
        <v>4.1550666666666666E-2</v>
      </c>
    </row>
    <row r="48" spans="1:11" x14ac:dyDescent="0.3">
      <c r="A48">
        <v>25</v>
      </c>
      <c r="B48" s="13">
        <v>0.91247</v>
      </c>
      <c r="C48" s="13">
        <v>0.40570000000000001</v>
      </c>
      <c r="D48" s="13">
        <v>0.48525000000000001</v>
      </c>
      <c r="E48" s="15">
        <f t="shared" si="4"/>
        <v>0.60114000000000001</v>
      </c>
      <c r="G48">
        <v>25</v>
      </c>
      <c r="H48" s="13">
        <v>7.2580000000000006E-2</v>
      </c>
      <c r="I48" s="13">
        <v>6.6434999999999994E-2</v>
      </c>
      <c r="J48" s="13">
        <v>0.115772</v>
      </c>
      <c r="K48" s="15">
        <f t="shared" si="5"/>
        <v>8.4928999999999991E-2</v>
      </c>
    </row>
    <row r="49" spans="1:12" x14ac:dyDescent="0.3">
      <c r="A49">
        <v>30</v>
      </c>
      <c r="B49" s="13">
        <v>0.71136999999999995</v>
      </c>
      <c r="C49" s="13">
        <v>0.44739000000000001</v>
      </c>
      <c r="D49" s="13">
        <v>0.56613999999999998</v>
      </c>
      <c r="E49" s="15">
        <f t="shared" si="4"/>
        <v>0.57496666666666663</v>
      </c>
      <c r="G49">
        <v>30</v>
      </c>
      <c r="H49" s="13">
        <v>9.5227000000000006E-2</v>
      </c>
      <c r="I49" s="13">
        <v>0.13739999999999999</v>
      </c>
      <c r="J49" s="13">
        <v>6.7229999999999998E-2</v>
      </c>
      <c r="K49" s="15">
        <f t="shared" si="5"/>
        <v>9.9952333333333324E-2</v>
      </c>
    </row>
    <row r="50" spans="1:12" x14ac:dyDescent="0.3">
      <c r="A50">
        <v>50</v>
      </c>
      <c r="B50" s="13">
        <v>0.52905199999999997</v>
      </c>
      <c r="C50" s="13">
        <v>0.7964</v>
      </c>
      <c r="D50" s="13">
        <v>0.59214</v>
      </c>
      <c r="E50" s="15">
        <f t="shared" si="4"/>
        <v>0.63919733333333328</v>
      </c>
      <c r="G50">
        <v>50</v>
      </c>
      <c r="H50" s="13">
        <v>0.14852000000000001</v>
      </c>
      <c r="I50" s="13">
        <v>9.7585000000000005E-2</v>
      </c>
      <c r="J50" s="13">
        <v>0.10250099999999999</v>
      </c>
      <c r="K50" s="15">
        <f t="shared" si="5"/>
        <v>0.11620200000000001</v>
      </c>
    </row>
    <row r="51" spans="1:12" x14ac:dyDescent="0.3">
      <c r="A51">
        <v>70</v>
      </c>
      <c r="B51" s="13">
        <v>0.78520000000000001</v>
      </c>
      <c r="C51" s="13">
        <v>0.40555000000000002</v>
      </c>
      <c r="D51" s="13">
        <v>0.64514000000000005</v>
      </c>
      <c r="E51" s="15">
        <f t="shared" si="4"/>
        <v>0.6119633333333333</v>
      </c>
      <c r="G51">
        <v>70</v>
      </c>
      <c r="H51" s="13">
        <v>0.21924099999999999</v>
      </c>
      <c r="I51" s="13">
        <v>0.27895599999999998</v>
      </c>
      <c r="J51" s="13">
        <v>1.469E-2</v>
      </c>
      <c r="K51" s="15">
        <f t="shared" si="5"/>
        <v>0.17096233333333333</v>
      </c>
    </row>
    <row r="52" spans="1:12" x14ac:dyDescent="0.3">
      <c r="E52" s="14"/>
      <c r="K52" s="14"/>
    </row>
    <row r="53" spans="1:12" ht="15.6" x14ac:dyDescent="0.35">
      <c r="A53" s="16" t="s">
        <v>80</v>
      </c>
      <c r="B53">
        <v>18.046600000000002</v>
      </c>
      <c r="C53" t="s">
        <v>94</v>
      </c>
      <c r="D53" t="s">
        <v>141</v>
      </c>
      <c r="E53" s="14"/>
      <c r="G53" s="16" t="s">
        <v>80</v>
      </c>
      <c r="H53">
        <v>238.0881</v>
      </c>
      <c r="I53" t="s">
        <v>95</v>
      </c>
      <c r="J53" t="s">
        <v>141</v>
      </c>
      <c r="K53" s="14"/>
    </row>
    <row r="54" spans="1:12" ht="16.8" x14ac:dyDescent="0.35">
      <c r="A54" s="16" t="s">
        <v>84</v>
      </c>
      <c r="B54" s="13">
        <v>0.85996399999999995</v>
      </c>
      <c r="C54" t="s">
        <v>96</v>
      </c>
      <c r="D54" t="s">
        <v>144</v>
      </c>
      <c r="E54" s="14"/>
      <c r="G54" s="16" t="s">
        <v>84</v>
      </c>
      <c r="H54" s="13">
        <v>0.74010200000000004</v>
      </c>
      <c r="I54" t="s">
        <v>97</v>
      </c>
      <c r="J54" t="s">
        <v>144</v>
      </c>
      <c r="K54" s="14"/>
    </row>
    <row r="55" spans="1:12" ht="16.8" x14ac:dyDescent="0.35">
      <c r="A55" s="17" t="s">
        <v>87</v>
      </c>
      <c r="B55" s="13">
        <f>B54/B53</f>
        <v>4.765241098046169E-2</v>
      </c>
      <c r="D55" t="s">
        <v>325</v>
      </c>
      <c r="E55" s="14"/>
      <c r="G55" s="17" t="s">
        <v>87</v>
      </c>
      <c r="H55" s="13">
        <f>H54/H53</f>
        <v>3.1085215934773727E-3</v>
      </c>
      <c r="J55" t="s">
        <v>325</v>
      </c>
      <c r="K55" s="14"/>
    </row>
    <row r="56" spans="1:12" x14ac:dyDescent="0.3">
      <c r="E56" s="14"/>
      <c r="K56" s="14"/>
    </row>
    <row r="57" spans="1:12" x14ac:dyDescent="0.3">
      <c r="E57" s="14"/>
      <c r="K57" s="14"/>
    </row>
    <row r="58" spans="1:12" x14ac:dyDescent="0.3">
      <c r="A58" s="1" t="s">
        <v>98</v>
      </c>
      <c r="E58" s="14"/>
      <c r="K58" s="14"/>
    </row>
    <row r="59" spans="1:12" ht="16.8" x14ac:dyDescent="0.35">
      <c r="A59" s="1"/>
      <c r="B59" s="209" t="s">
        <v>348</v>
      </c>
      <c r="C59" s="209"/>
      <c r="D59" s="209"/>
      <c r="E59" s="207" t="s">
        <v>4</v>
      </c>
      <c r="H59" s="209" t="s">
        <v>348</v>
      </c>
      <c r="I59" s="209"/>
      <c r="J59" s="209"/>
      <c r="K59" s="207" t="s">
        <v>4</v>
      </c>
    </row>
    <row r="60" spans="1:12" x14ac:dyDescent="0.3">
      <c r="A60" t="s">
        <v>78</v>
      </c>
      <c r="B60" t="s">
        <v>7</v>
      </c>
      <c r="C60" t="s">
        <v>8</v>
      </c>
      <c r="D60" t="s">
        <v>9</v>
      </c>
      <c r="E60" s="207"/>
      <c r="G60" t="s">
        <v>79</v>
      </c>
      <c r="H60" t="s">
        <v>7</v>
      </c>
      <c r="I60" t="s">
        <v>8</v>
      </c>
      <c r="J60" t="s">
        <v>9</v>
      </c>
      <c r="K60" s="207"/>
    </row>
    <row r="61" spans="1:12" x14ac:dyDescent="0.3">
      <c r="A61">
        <v>1</v>
      </c>
      <c r="B61" s="13">
        <v>3.2414000000000002E-3</v>
      </c>
      <c r="C61" s="13">
        <v>1.7317000000000001E-3</v>
      </c>
      <c r="D61" s="13">
        <v>2.6900000000000001E-3</v>
      </c>
      <c r="E61" s="15">
        <f>(B61+C61+D61)/3</f>
        <v>2.5543666666666669E-3</v>
      </c>
      <c r="F61" s="18"/>
      <c r="G61">
        <v>1</v>
      </c>
      <c r="H61" s="13">
        <v>7.2711E-3</v>
      </c>
      <c r="I61" s="13">
        <v>1.1521099999999999E-2</v>
      </c>
      <c r="J61" s="19">
        <v>9.5399999999999999E-3</v>
      </c>
      <c r="K61" s="15">
        <f>(H61+I61+J61)/3</f>
        <v>9.4440666666666655E-3</v>
      </c>
      <c r="L61" s="20"/>
    </row>
    <row r="62" spans="1:12" x14ac:dyDescent="0.3">
      <c r="A62">
        <v>2</v>
      </c>
      <c r="B62" s="13">
        <v>5.4210999999999999E-3</v>
      </c>
      <c r="C62" s="13">
        <v>3.9204000000000001E-3</v>
      </c>
      <c r="D62" s="13">
        <v>5.2310999999999998E-3</v>
      </c>
      <c r="E62" s="15">
        <f t="shared" ref="E62:E72" si="6">(B62+C62+D62)/3</f>
        <v>4.857533333333333E-3</v>
      </c>
      <c r="F62" s="18"/>
      <c r="G62">
        <v>2</v>
      </c>
      <c r="H62" s="13">
        <v>3.5111999999999997E-2</v>
      </c>
      <c r="I62" s="13">
        <v>1.3221999999999999E-2</v>
      </c>
      <c r="J62" s="19">
        <v>2.4056999999999999E-2</v>
      </c>
      <c r="K62" s="15">
        <f t="shared" ref="K62:K72" si="7">(H62+I62+J62)/3</f>
        <v>2.4130333333333333E-2</v>
      </c>
      <c r="L62" s="20"/>
    </row>
    <row r="63" spans="1:12" x14ac:dyDescent="0.3">
      <c r="A63">
        <v>4</v>
      </c>
      <c r="B63" s="13">
        <v>8.3105000000000002E-3</v>
      </c>
      <c r="C63" s="13">
        <v>6.2402999999999998E-3</v>
      </c>
      <c r="D63" s="13">
        <v>6.3905000000000003E-3</v>
      </c>
      <c r="E63" s="15">
        <f t="shared" si="6"/>
        <v>6.9804333333333335E-3</v>
      </c>
      <c r="F63" s="18"/>
      <c r="G63">
        <v>4</v>
      </c>
      <c r="H63" s="13">
        <v>4.4546000000000002E-2</v>
      </c>
      <c r="I63" s="13">
        <v>2.1451000000000001E-2</v>
      </c>
      <c r="J63" s="19">
        <v>3.0585999999999999E-2</v>
      </c>
      <c r="K63" s="15">
        <f t="shared" si="7"/>
        <v>3.2194333333333332E-2</v>
      </c>
      <c r="L63" s="20"/>
    </row>
    <row r="64" spans="1:12" x14ac:dyDescent="0.3">
      <c r="A64">
        <v>8</v>
      </c>
      <c r="B64" s="13">
        <v>8.1911999999999992E-3</v>
      </c>
      <c r="C64" s="13">
        <v>9.3144000000000005E-3</v>
      </c>
      <c r="D64" s="13">
        <v>1.1259999999999999E-2</v>
      </c>
      <c r="E64" s="15">
        <f t="shared" si="6"/>
        <v>9.5885333333333329E-3</v>
      </c>
      <c r="F64" s="18"/>
      <c r="G64">
        <v>8</v>
      </c>
      <c r="H64" s="13">
        <v>7.5209999999999999E-2</v>
      </c>
      <c r="I64" s="13">
        <v>2.9162400000000002E-2</v>
      </c>
      <c r="J64" s="19">
        <v>4.5703000000000001E-2</v>
      </c>
      <c r="K64" s="15">
        <f t="shared" si="7"/>
        <v>5.0025133333333333E-2</v>
      </c>
      <c r="L64" s="20"/>
    </row>
    <row r="65" spans="1:12" x14ac:dyDescent="0.3">
      <c r="A65">
        <v>15</v>
      </c>
      <c r="B65" s="13">
        <v>8.2833000000000004E-3</v>
      </c>
      <c r="C65" s="13">
        <v>1.1474E-2</v>
      </c>
      <c r="D65" s="13">
        <v>9.9501999999999993E-3</v>
      </c>
      <c r="E65" s="15">
        <f t="shared" si="6"/>
        <v>9.9024999999999998E-3</v>
      </c>
      <c r="F65" s="18"/>
      <c r="G65">
        <v>15</v>
      </c>
      <c r="H65" s="13">
        <v>8.3420999999999995E-2</v>
      </c>
      <c r="I65" s="13">
        <v>5.8071999999999999E-2</v>
      </c>
      <c r="J65" s="19">
        <v>7.4812000000000003E-2</v>
      </c>
      <c r="K65" s="15">
        <f t="shared" si="7"/>
        <v>7.2101666666666661E-2</v>
      </c>
      <c r="L65" s="20"/>
    </row>
    <row r="66" spans="1:12" x14ac:dyDescent="0.3">
      <c r="A66">
        <v>20</v>
      </c>
      <c r="B66" s="13">
        <v>3.0145000000000002E-2</v>
      </c>
      <c r="C66" s="13">
        <v>1.1155999999999999E-2</v>
      </c>
      <c r="D66" s="13">
        <v>2.3144000000000001E-2</v>
      </c>
      <c r="E66" s="15">
        <f t="shared" si="6"/>
        <v>2.1481666666666666E-2</v>
      </c>
      <c r="F66" s="18"/>
      <c r="G66">
        <v>20</v>
      </c>
      <c r="H66" s="13">
        <v>9.1941999999999996E-2</v>
      </c>
      <c r="I66" s="13">
        <v>6.0490000000000002E-2</v>
      </c>
      <c r="J66" s="19">
        <v>0.10248599999999999</v>
      </c>
      <c r="K66" s="15">
        <f t="shared" si="7"/>
        <v>8.4972666666666655E-2</v>
      </c>
      <c r="L66" s="20"/>
    </row>
    <row r="67" spans="1:12" x14ac:dyDescent="0.3">
      <c r="A67">
        <v>25</v>
      </c>
      <c r="B67" s="13">
        <v>3.7123999999999997E-2</v>
      </c>
      <c r="C67" s="13">
        <v>2.54927E-2</v>
      </c>
      <c r="D67" s="13">
        <v>1.9678899999999999E-2</v>
      </c>
      <c r="E67" s="15">
        <f t="shared" si="6"/>
        <v>2.7431866666666666E-2</v>
      </c>
      <c r="F67" s="18"/>
      <c r="G67">
        <v>25</v>
      </c>
      <c r="H67" s="13">
        <v>0.10255400000000001</v>
      </c>
      <c r="I67" s="13">
        <v>8.9984999999999996E-2</v>
      </c>
      <c r="J67" s="19">
        <v>0.11436</v>
      </c>
      <c r="K67" s="15">
        <f t="shared" si="7"/>
        <v>0.10229966666666668</v>
      </c>
      <c r="L67" s="20"/>
    </row>
    <row r="68" spans="1:12" x14ac:dyDescent="0.3">
      <c r="A68">
        <v>30</v>
      </c>
      <c r="B68" s="13">
        <v>4.1253100000000001E-2</v>
      </c>
      <c r="C68" s="13">
        <v>2.5541700000000001E-2</v>
      </c>
      <c r="D68" s="13">
        <v>3.2252999999999997E-2</v>
      </c>
      <c r="E68" s="15">
        <f t="shared" si="6"/>
        <v>3.301593333333333E-2</v>
      </c>
      <c r="F68" s="18"/>
      <c r="G68">
        <v>30</v>
      </c>
      <c r="H68" s="13">
        <v>0.17452000000000001</v>
      </c>
      <c r="I68" s="13">
        <v>0.12525</v>
      </c>
      <c r="J68" s="19">
        <v>9.8559999999999995E-2</v>
      </c>
      <c r="K68" s="15">
        <f t="shared" si="7"/>
        <v>0.13277666666666665</v>
      </c>
      <c r="L68" s="20"/>
    </row>
    <row r="69" spans="1:12" x14ac:dyDescent="0.3">
      <c r="A69">
        <v>50</v>
      </c>
      <c r="B69" s="13">
        <v>5.1817000000000002E-2</v>
      </c>
      <c r="C69" s="13">
        <v>3.2586999999999998E-2</v>
      </c>
      <c r="D69" s="13">
        <v>4.4579000000000001E-2</v>
      </c>
      <c r="E69" s="15">
        <f t="shared" si="6"/>
        <v>4.2994333333333336E-2</v>
      </c>
      <c r="F69" s="18"/>
      <c r="G69">
        <v>50</v>
      </c>
      <c r="H69" s="13">
        <v>0.31521310000000002</v>
      </c>
      <c r="I69" s="13">
        <v>0.12083695999999999</v>
      </c>
      <c r="J69" s="19">
        <v>0.18430299999999999</v>
      </c>
      <c r="K69" s="15">
        <f t="shared" si="7"/>
        <v>0.20678435333333334</v>
      </c>
      <c r="L69" s="20"/>
    </row>
    <row r="70" spans="1:12" x14ac:dyDescent="0.3">
      <c r="A70">
        <v>70</v>
      </c>
      <c r="B70" s="13">
        <v>7.9122999999999999E-2</v>
      </c>
      <c r="C70" s="13">
        <v>5.7242000000000001E-2</v>
      </c>
      <c r="D70" s="13">
        <v>6.0756999999999999E-2</v>
      </c>
      <c r="E70" s="15">
        <f t="shared" si="6"/>
        <v>6.570733333333334E-2</v>
      </c>
      <c r="F70" s="18"/>
      <c r="G70">
        <v>70</v>
      </c>
      <c r="H70" s="13">
        <v>0.32145000000000001</v>
      </c>
      <c r="I70" s="13">
        <v>0.17840300000000001</v>
      </c>
      <c r="J70" s="19">
        <v>0.28439599999999998</v>
      </c>
      <c r="K70" s="15">
        <f t="shared" si="7"/>
        <v>0.26141633333333331</v>
      </c>
      <c r="L70" s="20"/>
    </row>
    <row r="71" spans="1:12" x14ac:dyDescent="0.3">
      <c r="A71">
        <v>100</v>
      </c>
      <c r="B71" s="13">
        <v>0.133794</v>
      </c>
      <c r="C71" s="13">
        <v>7.7072000000000002E-2</v>
      </c>
      <c r="D71" s="13">
        <v>8.6077000000000001E-2</v>
      </c>
      <c r="E71" s="15">
        <f t="shared" si="6"/>
        <v>9.8981E-2</v>
      </c>
      <c r="F71" s="18"/>
      <c r="G71" s="21">
        <v>100</v>
      </c>
      <c r="H71" s="13">
        <v>0.36078399999999999</v>
      </c>
      <c r="I71" s="13">
        <v>0.19916120000000001</v>
      </c>
      <c r="J71" s="19">
        <v>0.27815000000000001</v>
      </c>
      <c r="K71" s="15">
        <f t="shared" si="7"/>
        <v>0.27936506666666666</v>
      </c>
      <c r="L71" s="20"/>
    </row>
    <row r="72" spans="1:12" x14ac:dyDescent="0.3">
      <c r="A72">
        <v>150</v>
      </c>
      <c r="B72" s="13">
        <v>0.15123700000000001</v>
      </c>
      <c r="C72" s="13">
        <v>9.0577000000000005E-2</v>
      </c>
      <c r="D72" s="13">
        <v>8.4573999999999996E-2</v>
      </c>
      <c r="E72" s="15">
        <f t="shared" si="6"/>
        <v>0.108796</v>
      </c>
      <c r="F72" s="18"/>
      <c r="G72" s="21">
        <v>150</v>
      </c>
      <c r="H72" s="13">
        <v>0.27459470000000002</v>
      </c>
      <c r="I72" s="13">
        <v>0.365948</v>
      </c>
      <c r="J72" s="19">
        <v>0.21987000000000001</v>
      </c>
      <c r="K72" s="15">
        <f t="shared" si="7"/>
        <v>0.28680423333333332</v>
      </c>
      <c r="L72" s="20"/>
    </row>
    <row r="73" spans="1:12" x14ac:dyDescent="0.3">
      <c r="E73" s="14"/>
      <c r="K73" s="14"/>
    </row>
    <row r="74" spans="1:12" ht="15.6" x14ac:dyDescent="0.35">
      <c r="A74" s="16" t="s">
        <v>80</v>
      </c>
      <c r="B74" s="13">
        <v>271.45600000000002</v>
      </c>
      <c r="C74" t="s">
        <v>99</v>
      </c>
      <c r="D74" t="s">
        <v>141</v>
      </c>
      <c r="E74" s="14"/>
      <c r="G74" s="16" t="s">
        <v>80</v>
      </c>
      <c r="H74" s="13">
        <v>67.235200000000006</v>
      </c>
      <c r="I74" t="s">
        <v>100</v>
      </c>
      <c r="J74" t="s">
        <v>141</v>
      </c>
      <c r="K74" s="14"/>
    </row>
    <row r="75" spans="1:12" ht="16.8" x14ac:dyDescent="0.35">
      <c r="A75" s="16" t="s">
        <v>84</v>
      </c>
      <c r="B75" s="13">
        <v>0.32151600000000002</v>
      </c>
      <c r="C75" t="s">
        <v>101</v>
      </c>
      <c r="D75" t="s">
        <v>144</v>
      </c>
      <c r="E75" s="14"/>
      <c r="G75" s="16" t="s">
        <v>84</v>
      </c>
      <c r="H75" s="13">
        <v>0.45000200000000001</v>
      </c>
      <c r="I75" t="s">
        <v>102</v>
      </c>
      <c r="J75" t="s">
        <v>144</v>
      </c>
      <c r="K75" s="14"/>
    </row>
    <row r="76" spans="1:12" ht="16.8" x14ac:dyDescent="0.35">
      <c r="A76" s="17" t="s">
        <v>87</v>
      </c>
      <c r="B76" s="13">
        <f>B75/B74</f>
        <v>1.1844129435341271E-3</v>
      </c>
      <c r="D76" t="s">
        <v>325</v>
      </c>
      <c r="E76" s="14"/>
      <c r="G76" s="17" t="s">
        <v>87</v>
      </c>
      <c r="H76" s="13">
        <f>H75/H74</f>
        <v>6.6929525010708674E-3</v>
      </c>
      <c r="J76" t="s">
        <v>325</v>
      </c>
      <c r="K76" s="14"/>
    </row>
    <row r="77" spans="1:12" x14ac:dyDescent="0.3">
      <c r="E77" s="14"/>
      <c r="I77" t="s">
        <v>82</v>
      </c>
      <c r="K77" s="14"/>
    </row>
    <row r="78" spans="1:12" x14ac:dyDescent="0.3">
      <c r="E78" s="14"/>
      <c r="K78" s="14"/>
    </row>
    <row r="79" spans="1:12" x14ac:dyDescent="0.3">
      <c r="A79" s="1" t="s">
        <v>103</v>
      </c>
      <c r="E79" s="14"/>
      <c r="K79" s="14"/>
    </row>
    <row r="80" spans="1:12" ht="16.8" x14ac:dyDescent="0.35">
      <c r="A80" s="1"/>
      <c r="B80" s="209" t="s">
        <v>348</v>
      </c>
      <c r="C80" s="209"/>
      <c r="D80" s="209"/>
      <c r="E80" s="207" t="s">
        <v>4</v>
      </c>
      <c r="H80" s="209" t="s">
        <v>348</v>
      </c>
      <c r="I80" s="209"/>
      <c r="J80" s="209"/>
      <c r="K80" s="207" t="s">
        <v>4</v>
      </c>
    </row>
    <row r="81" spans="1:12" x14ac:dyDescent="0.3">
      <c r="A81" t="s">
        <v>78</v>
      </c>
      <c r="B81" t="s">
        <v>7</v>
      </c>
      <c r="C81" t="s">
        <v>8</v>
      </c>
      <c r="D81" t="s">
        <v>9</v>
      </c>
      <c r="E81" s="207"/>
      <c r="G81" t="s">
        <v>79</v>
      </c>
      <c r="H81" t="s">
        <v>7</v>
      </c>
      <c r="I81" t="s">
        <v>8</v>
      </c>
      <c r="J81" t="s">
        <v>9</v>
      </c>
      <c r="K81" s="207"/>
    </row>
    <row r="82" spans="1:12" x14ac:dyDescent="0.3">
      <c r="A82">
        <v>1</v>
      </c>
      <c r="B82" s="13">
        <v>9.8645999999999994E-3</v>
      </c>
      <c r="C82" s="13">
        <v>1.7489999999999999E-2</v>
      </c>
      <c r="D82" s="13">
        <v>1.2359500000000001E-2</v>
      </c>
      <c r="E82" s="15">
        <f>(B82+C82+D82)/3</f>
        <v>1.3238033333333335E-2</v>
      </c>
      <c r="G82">
        <v>1</v>
      </c>
      <c r="H82" s="13">
        <v>3.8049999999999998E-3</v>
      </c>
      <c r="I82" s="13">
        <v>6.7149999999999996E-3</v>
      </c>
      <c r="J82" s="13">
        <v>8.0123E-3</v>
      </c>
      <c r="K82" s="22">
        <f>(H82+I82+J82)/3</f>
        <v>6.1774333333333336E-3</v>
      </c>
    </row>
    <row r="83" spans="1:12" x14ac:dyDescent="0.3">
      <c r="A83">
        <v>2</v>
      </c>
      <c r="B83" s="13">
        <v>9.8519999999999996E-3</v>
      </c>
      <c r="C83" s="13">
        <v>2.2456E-2</v>
      </c>
      <c r="D83" s="13">
        <v>1.7680499999999998E-2</v>
      </c>
      <c r="E83" s="15">
        <f t="shared" ref="E83:E93" si="8">(B83+C83+D83)/3</f>
        <v>1.6662833333333335E-2</v>
      </c>
      <c r="G83">
        <v>2</v>
      </c>
      <c r="H83" s="13">
        <v>2.79779E-2</v>
      </c>
      <c r="I83" s="13">
        <v>1.7559999999999999E-2</v>
      </c>
      <c r="J83" s="13">
        <v>9.9950000000000004E-3</v>
      </c>
      <c r="K83" s="22">
        <f t="shared" ref="K83:K92" si="9">(H83+I83+J83)/3</f>
        <v>1.8510966666666667E-2</v>
      </c>
    </row>
    <row r="84" spans="1:12" x14ac:dyDescent="0.3">
      <c r="A84">
        <v>4</v>
      </c>
      <c r="B84" s="13">
        <v>4.7130400000000003E-2</v>
      </c>
      <c r="C84" s="13">
        <v>2.4119000000000002E-2</v>
      </c>
      <c r="D84" s="13">
        <v>3.4229000000000002E-2</v>
      </c>
      <c r="E84" s="15">
        <f t="shared" si="8"/>
        <v>3.5159466666666667E-2</v>
      </c>
      <c r="G84">
        <v>4</v>
      </c>
      <c r="H84" s="13">
        <v>2.7806000000000001E-2</v>
      </c>
      <c r="I84" s="13">
        <v>4.9855999999999998E-2</v>
      </c>
      <c r="J84" s="13">
        <v>1.8950000000000002E-2</v>
      </c>
      <c r="K84" s="22">
        <f t="shared" si="9"/>
        <v>3.2204000000000003E-2</v>
      </c>
    </row>
    <row r="85" spans="1:12" x14ac:dyDescent="0.3">
      <c r="A85">
        <v>8</v>
      </c>
      <c r="B85" s="13">
        <v>2.2175E-2</v>
      </c>
      <c r="C85" s="13">
        <v>7.2010000000000005E-2</v>
      </c>
      <c r="D85" s="13">
        <v>5.9768099999999998E-2</v>
      </c>
      <c r="E85" s="15">
        <f t="shared" si="8"/>
        <v>5.1317700000000001E-2</v>
      </c>
      <c r="G85">
        <v>8</v>
      </c>
      <c r="H85" s="13">
        <v>7.2541999999999995E-2</v>
      </c>
      <c r="I85" s="13">
        <v>2.4101999999999998E-2</v>
      </c>
      <c r="J85" s="13">
        <v>4.5057E-2</v>
      </c>
      <c r="K85" s="22">
        <f t="shared" si="9"/>
        <v>4.7233666666666667E-2</v>
      </c>
    </row>
    <row r="86" spans="1:12" x14ac:dyDescent="0.3">
      <c r="A86">
        <v>15</v>
      </c>
      <c r="B86" s="13">
        <v>9.6414600000000003E-2</v>
      </c>
      <c r="C86" s="13">
        <v>4.4962000000000002E-2</v>
      </c>
      <c r="D86" s="13">
        <v>7.4250999999999998E-2</v>
      </c>
      <c r="E86" s="15">
        <f t="shared" si="8"/>
        <v>7.1875866666666677E-2</v>
      </c>
      <c r="G86">
        <v>15</v>
      </c>
      <c r="H86" s="13">
        <v>3.9995999999999997E-2</v>
      </c>
      <c r="I86" s="13">
        <v>9.9988999999999995E-2</v>
      </c>
      <c r="J86" s="13">
        <v>5.9896999999999999E-2</v>
      </c>
      <c r="K86" s="22">
        <f t="shared" si="9"/>
        <v>6.662733333333333E-2</v>
      </c>
    </row>
    <row r="87" spans="1:12" x14ac:dyDescent="0.3">
      <c r="A87">
        <v>20</v>
      </c>
      <c r="B87" s="13">
        <v>6.8650299999999997E-2</v>
      </c>
      <c r="C87" s="13">
        <v>9.2200000000000004E-2</v>
      </c>
      <c r="D87" s="13">
        <v>0.1452466</v>
      </c>
      <c r="E87" s="15">
        <f t="shared" si="8"/>
        <v>0.10203230000000001</v>
      </c>
      <c r="G87">
        <v>20</v>
      </c>
      <c r="H87" s="13">
        <v>9.3038999999999997E-2</v>
      </c>
      <c r="I87" s="13">
        <v>0.143701</v>
      </c>
      <c r="J87" s="13">
        <v>0.10150000000000001</v>
      </c>
      <c r="K87" s="22">
        <f t="shared" si="9"/>
        <v>0.11274666666666666</v>
      </c>
    </row>
    <row r="88" spans="1:12" x14ac:dyDescent="0.3">
      <c r="A88">
        <v>25</v>
      </c>
      <c r="B88" s="13">
        <v>9.8570000000000005E-2</v>
      </c>
      <c r="C88" s="13">
        <v>0.1855</v>
      </c>
      <c r="D88" s="13">
        <v>0.112471</v>
      </c>
      <c r="E88" s="15">
        <f t="shared" si="8"/>
        <v>0.13218033333333332</v>
      </c>
      <c r="G88">
        <v>25</v>
      </c>
      <c r="H88" s="13">
        <v>0.24657999999999999</v>
      </c>
      <c r="I88" s="13">
        <v>9.2360999999999999E-2</v>
      </c>
      <c r="J88" s="13">
        <v>0.15135499999999999</v>
      </c>
      <c r="K88" s="22">
        <f t="shared" si="9"/>
        <v>0.16343199999999999</v>
      </c>
    </row>
    <row r="89" spans="1:12" x14ac:dyDescent="0.3">
      <c r="A89">
        <v>30</v>
      </c>
      <c r="B89" s="13">
        <v>0.20457700000000001</v>
      </c>
      <c r="C89" s="13">
        <v>9.3020000000000005E-2</v>
      </c>
      <c r="D89" s="13">
        <v>0.1423663</v>
      </c>
      <c r="E89" s="15">
        <f>(B89+C89+D89)/3</f>
        <v>0.14665443333333333</v>
      </c>
      <c r="G89">
        <v>30</v>
      </c>
      <c r="H89" s="13">
        <v>9.3568700000000005E-2</v>
      </c>
      <c r="I89" s="13">
        <v>0.27284000000000003</v>
      </c>
      <c r="J89" s="13">
        <v>0.18023</v>
      </c>
      <c r="K89" s="22">
        <f t="shared" si="9"/>
        <v>0.18221290000000001</v>
      </c>
      <c r="L89" s="23"/>
    </row>
    <row r="90" spans="1:12" x14ac:dyDescent="0.3">
      <c r="A90">
        <v>50</v>
      </c>
      <c r="B90" s="13">
        <v>0.3457249</v>
      </c>
      <c r="C90" s="13">
        <v>0.145237</v>
      </c>
      <c r="D90" s="13">
        <v>0.23186100000000001</v>
      </c>
      <c r="E90" s="15">
        <f t="shared" si="8"/>
        <v>0.24094096666666667</v>
      </c>
      <c r="G90">
        <v>50</v>
      </c>
      <c r="H90" s="13">
        <v>9.9588899999999994E-2</v>
      </c>
      <c r="I90" s="13">
        <v>0.37199589999999999</v>
      </c>
      <c r="J90" s="13">
        <v>0.38819900000000002</v>
      </c>
      <c r="K90" s="22">
        <f t="shared" si="9"/>
        <v>0.28659459999999998</v>
      </c>
    </row>
    <row r="91" spans="1:12" x14ac:dyDescent="0.3">
      <c r="A91">
        <v>70</v>
      </c>
      <c r="B91" s="13">
        <v>0.18579509999999999</v>
      </c>
      <c r="C91" s="13">
        <v>0.25489000000000001</v>
      </c>
      <c r="D91" s="13">
        <v>0.34014699999999998</v>
      </c>
      <c r="E91" s="15">
        <f t="shared" si="8"/>
        <v>0.26027736666666668</v>
      </c>
      <c r="G91">
        <v>70</v>
      </c>
      <c r="H91" s="13">
        <v>0.52873999999999999</v>
      </c>
      <c r="I91" s="13">
        <v>0.244785</v>
      </c>
      <c r="J91" s="13">
        <v>0.34165250000000003</v>
      </c>
      <c r="K91" s="22">
        <f t="shared" si="9"/>
        <v>0.37172583333333337</v>
      </c>
    </row>
    <row r="92" spans="1:12" x14ac:dyDescent="0.3">
      <c r="A92">
        <v>100</v>
      </c>
      <c r="B92" s="13">
        <v>0.17056060000000001</v>
      </c>
      <c r="C92" s="13">
        <v>0.30088569999999998</v>
      </c>
      <c r="D92" s="13">
        <v>0.38886999999999999</v>
      </c>
      <c r="E92" s="15">
        <f t="shared" si="8"/>
        <v>0.28677210000000003</v>
      </c>
      <c r="G92">
        <v>100</v>
      </c>
      <c r="H92" s="13">
        <v>0.26575300000000002</v>
      </c>
      <c r="I92" s="13">
        <v>0.59978730000000002</v>
      </c>
      <c r="J92" s="13">
        <v>0.29629</v>
      </c>
      <c r="K92" s="22">
        <f t="shared" si="9"/>
        <v>0.38727676666666672</v>
      </c>
    </row>
    <row r="93" spans="1:12" x14ac:dyDescent="0.3">
      <c r="A93">
        <v>150</v>
      </c>
      <c r="B93" s="13">
        <v>0.2105571</v>
      </c>
      <c r="C93" s="13">
        <v>0.35598010000000002</v>
      </c>
      <c r="D93" s="13">
        <v>0.33914260000000002</v>
      </c>
      <c r="E93" s="15">
        <f t="shared" si="8"/>
        <v>0.30189326666666666</v>
      </c>
      <c r="G93">
        <v>150</v>
      </c>
      <c r="H93" s="13">
        <v>0.21587000000000001</v>
      </c>
      <c r="I93" s="13">
        <v>0.44496000000000002</v>
      </c>
      <c r="J93" s="13">
        <v>0.51222699999999999</v>
      </c>
      <c r="K93" s="22">
        <f>(H93+I93+J93)/3</f>
        <v>0.39101900000000001</v>
      </c>
    </row>
    <row r="94" spans="1:12" x14ac:dyDescent="0.3">
      <c r="E94" s="14"/>
      <c r="K94" s="14"/>
    </row>
    <row r="95" spans="1:12" ht="15.6" x14ac:dyDescent="0.35">
      <c r="A95" s="16" t="s">
        <v>80</v>
      </c>
      <c r="B95">
        <v>55.72</v>
      </c>
      <c r="C95" t="s">
        <v>104</v>
      </c>
      <c r="D95" t="s">
        <v>141</v>
      </c>
      <c r="E95" s="14"/>
      <c r="G95" s="16" t="s">
        <v>80</v>
      </c>
      <c r="H95">
        <v>71.823499999999996</v>
      </c>
      <c r="I95" t="s">
        <v>105</v>
      </c>
      <c r="J95" t="s">
        <v>141</v>
      </c>
      <c r="K95" s="14"/>
    </row>
    <row r="96" spans="1:12" ht="16.8" x14ac:dyDescent="0.35">
      <c r="A96" s="16" t="s">
        <v>84</v>
      </c>
      <c r="B96">
        <v>0.44040000000000001</v>
      </c>
      <c r="C96" t="s">
        <v>106</v>
      </c>
      <c r="D96" t="s">
        <v>144</v>
      </c>
      <c r="E96" s="14"/>
      <c r="G96" s="16" t="s">
        <v>84</v>
      </c>
      <c r="H96">
        <v>0.6401</v>
      </c>
      <c r="I96" t="s">
        <v>107</v>
      </c>
      <c r="J96" t="s">
        <v>144</v>
      </c>
      <c r="K96" s="14"/>
    </row>
    <row r="97" spans="1:11" ht="16.8" x14ac:dyDescent="0.35">
      <c r="A97" s="17" t="s">
        <v>87</v>
      </c>
      <c r="B97" s="13">
        <f>B96/B95</f>
        <v>7.9038047379755925E-3</v>
      </c>
      <c r="D97" t="s">
        <v>325</v>
      </c>
      <c r="E97" s="14"/>
      <c r="G97" s="17" t="s">
        <v>87</v>
      </c>
      <c r="H97" s="13">
        <f>H96/H95</f>
        <v>8.9121248616399924E-3</v>
      </c>
      <c r="J97" t="s">
        <v>325</v>
      </c>
      <c r="K97" s="14"/>
    </row>
    <row r="98" spans="1:11" x14ac:dyDescent="0.3">
      <c r="E98" s="14"/>
      <c r="K98" s="14"/>
    </row>
    <row r="99" spans="1:11" x14ac:dyDescent="0.3">
      <c r="E99" s="14"/>
      <c r="K99" s="14"/>
    </row>
    <row r="100" spans="1:11" x14ac:dyDescent="0.3">
      <c r="A100" s="1" t="s">
        <v>108</v>
      </c>
      <c r="E100" s="14"/>
      <c r="K100" s="14"/>
    </row>
    <row r="101" spans="1:11" ht="16.8" x14ac:dyDescent="0.35">
      <c r="A101" s="1"/>
      <c r="B101" s="209" t="s">
        <v>348</v>
      </c>
      <c r="C101" s="209"/>
      <c r="D101" s="209"/>
      <c r="E101" s="207" t="s">
        <v>4</v>
      </c>
      <c r="H101" s="209" t="s">
        <v>348</v>
      </c>
      <c r="I101" s="209"/>
      <c r="J101" s="209"/>
      <c r="K101" s="207" t="s">
        <v>4</v>
      </c>
    </row>
    <row r="102" spans="1:11" x14ac:dyDescent="0.3">
      <c r="A102" t="s">
        <v>78</v>
      </c>
      <c r="B102" t="s">
        <v>7</v>
      </c>
      <c r="C102" t="s">
        <v>8</v>
      </c>
      <c r="D102" t="s">
        <v>9</v>
      </c>
      <c r="E102" s="207"/>
      <c r="G102" t="s">
        <v>79</v>
      </c>
      <c r="H102" t="s">
        <v>7</v>
      </c>
      <c r="I102" t="s">
        <v>8</v>
      </c>
      <c r="J102" t="s">
        <v>9</v>
      </c>
      <c r="K102" s="207"/>
    </row>
    <row r="103" spans="1:11" x14ac:dyDescent="0.3">
      <c r="A103">
        <v>1</v>
      </c>
      <c r="B103" s="13">
        <v>1.0995239999999999</v>
      </c>
      <c r="C103" s="13">
        <v>0.52473219999999998</v>
      </c>
      <c r="D103" s="13">
        <v>0.63869169999999997</v>
      </c>
      <c r="E103" s="15">
        <f>(B103+C103+D103)/3</f>
        <v>0.75431596666666667</v>
      </c>
      <c r="G103">
        <v>1</v>
      </c>
      <c r="H103" s="13">
        <v>0.11196</v>
      </c>
      <c r="I103" s="13">
        <v>0.45183000000000001</v>
      </c>
      <c r="J103" s="13">
        <v>0.221474</v>
      </c>
      <c r="K103" s="15">
        <f>(H103+I103+J103)/3</f>
        <v>0.26175466666666664</v>
      </c>
    </row>
    <row r="104" spans="1:11" x14ac:dyDescent="0.3">
      <c r="A104">
        <v>2</v>
      </c>
      <c r="B104" s="13">
        <v>1.2034817</v>
      </c>
      <c r="C104" s="13">
        <v>1.027501</v>
      </c>
      <c r="D104" s="13">
        <v>0.61129299999999998</v>
      </c>
      <c r="E104" s="15">
        <f t="shared" ref="E104:E112" si="10">(B104+C104+D104)/3</f>
        <v>0.94742523333333339</v>
      </c>
      <c r="G104">
        <v>2</v>
      </c>
      <c r="H104" s="13">
        <v>0.67222999999999999</v>
      </c>
      <c r="I104" s="13">
        <v>0.30793500000000001</v>
      </c>
      <c r="J104" s="13">
        <v>0.56457999999999997</v>
      </c>
      <c r="K104" s="15">
        <f t="shared" ref="K104:K112" si="11">(H104+I104+J104)/3</f>
        <v>0.5149149999999999</v>
      </c>
    </row>
    <row r="105" spans="1:11" x14ac:dyDescent="0.3">
      <c r="A105">
        <v>4</v>
      </c>
      <c r="B105" s="13">
        <v>1.43784</v>
      </c>
      <c r="C105" s="13">
        <v>1.08516525</v>
      </c>
      <c r="D105" s="13">
        <v>2.1026117000000002</v>
      </c>
      <c r="E105" s="15">
        <f t="shared" si="10"/>
        <v>1.5418723166666666</v>
      </c>
      <c r="G105">
        <v>4</v>
      </c>
      <c r="H105" s="13">
        <v>1.922196</v>
      </c>
      <c r="I105" s="13">
        <v>1.40388</v>
      </c>
      <c r="J105" s="13">
        <v>1.62992</v>
      </c>
      <c r="K105" s="15">
        <f t="shared" si="11"/>
        <v>1.6519986666666666</v>
      </c>
    </row>
    <row r="106" spans="1:11" x14ac:dyDescent="0.3">
      <c r="A106">
        <v>8</v>
      </c>
      <c r="B106" s="13">
        <v>3.4110100000000001</v>
      </c>
      <c r="C106" s="13">
        <v>5.8804743999999998</v>
      </c>
      <c r="D106" s="13">
        <v>4.3943390000000004</v>
      </c>
      <c r="E106" s="15">
        <f t="shared" si="10"/>
        <v>4.5619411333333337</v>
      </c>
      <c r="G106">
        <v>8</v>
      </c>
      <c r="H106" s="13">
        <v>3.7742070000000001</v>
      </c>
      <c r="I106" s="13">
        <v>2.99512</v>
      </c>
      <c r="J106" s="13">
        <v>4.3377499999999998</v>
      </c>
      <c r="K106" s="15">
        <f t="shared" si="11"/>
        <v>3.702359</v>
      </c>
    </row>
    <row r="107" spans="1:11" x14ac:dyDescent="0.3">
      <c r="A107">
        <v>15</v>
      </c>
      <c r="B107" s="13">
        <v>9.8594069999999991</v>
      </c>
      <c r="C107" s="13">
        <v>5.9884899999999996</v>
      </c>
      <c r="D107" s="13">
        <v>7.8805909999999999</v>
      </c>
      <c r="E107" s="15">
        <f t="shared" si="10"/>
        <v>7.9094959999999999</v>
      </c>
      <c r="G107">
        <v>15</v>
      </c>
      <c r="H107" s="13">
        <v>6.3521000000000001</v>
      </c>
      <c r="I107" s="13">
        <v>4.9652099999999999</v>
      </c>
      <c r="J107" s="13">
        <v>5.6314500000000001</v>
      </c>
      <c r="K107" s="15">
        <f t="shared" si="11"/>
        <v>5.649586666666667</v>
      </c>
    </row>
    <row r="108" spans="1:11" x14ac:dyDescent="0.3">
      <c r="A108">
        <v>20</v>
      </c>
      <c r="B108" s="13">
        <v>10.43412</v>
      </c>
      <c r="C108" s="13">
        <v>5.0822770000000004</v>
      </c>
      <c r="D108" s="13">
        <v>7.5320099999999996</v>
      </c>
      <c r="E108" s="15">
        <f t="shared" si="10"/>
        <v>7.682802333333334</v>
      </c>
      <c r="G108">
        <v>20</v>
      </c>
      <c r="H108" s="13">
        <v>6.60541</v>
      </c>
      <c r="I108" s="13">
        <v>5.9421900000000001</v>
      </c>
      <c r="J108" s="13">
        <v>8.6235599999999994</v>
      </c>
      <c r="K108" s="15">
        <f t="shared" si="11"/>
        <v>7.0570533333333332</v>
      </c>
    </row>
    <row r="109" spans="1:11" x14ac:dyDescent="0.3">
      <c r="A109">
        <v>25</v>
      </c>
      <c r="B109" s="13">
        <v>11.87402</v>
      </c>
      <c r="C109" s="13">
        <v>7.9541000000000004</v>
      </c>
      <c r="D109" s="13">
        <v>8.9725249999999992</v>
      </c>
      <c r="E109" s="15">
        <f t="shared" si="10"/>
        <v>9.6002149999999986</v>
      </c>
      <c r="G109">
        <v>25</v>
      </c>
      <c r="H109" s="13">
        <v>7.4510399999999999</v>
      </c>
      <c r="I109" s="13">
        <v>8.9509899999999991</v>
      </c>
      <c r="J109" s="13">
        <v>6.6499899999999998</v>
      </c>
      <c r="K109" s="15">
        <f t="shared" si="11"/>
        <v>7.684006666666666</v>
      </c>
    </row>
    <row r="110" spans="1:11" x14ac:dyDescent="0.3">
      <c r="A110">
        <v>30</v>
      </c>
      <c r="B110" s="13">
        <v>11.1614</v>
      </c>
      <c r="C110" s="13">
        <v>9.1301000000000005</v>
      </c>
      <c r="D110" s="13">
        <v>8.0083300000000008</v>
      </c>
      <c r="E110" s="15">
        <f t="shared" si="10"/>
        <v>9.4332766666666661</v>
      </c>
      <c r="G110">
        <v>30</v>
      </c>
      <c r="H110" s="13">
        <v>9.6305599999999991</v>
      </c>
      <c r="I110" s="13">
        <v>8.2094799999999992</v>
      </c>
      <c r="J110" s="13">
        <v>14.155799999999999</v>
      </c>
      <c r="K110" s="15">
        <f t="shared" si="11"/>
        <v>10.665279999999999</v>
      </c>
    </row>
    <row r="111" spans="1:11" x14ac:dyDescent="0.3">
      <c r="A111">
        <v>50</v>
      </c>
      <c r="B111" s="13">
        <v>13.149706999999999</v>
      </c>
      <c r="C111" s="13">
        <v>15.22447</v>
      </c>
      <c r="D111" s="13">
        <v>10.04172</v>
      </c>
      <c r="E111" s="15">
        <f t="shared" si="10"/>
        <v>12.805299</v>
      </c>
      <c r="G111">
        <v>50</v>
      </c>
      <c r="H111" s="13">
        <v>12.104710000000001</v>
      </c>
      <c r="I111" s="13">
        <v>20.109670000000001</v>
      </c>
      <c r="J111" s="13">
        <v>13.403600000000001</v>
      </c>
      <c r="K111" s="15">
        <f t="shared" si="11"/>
        <v>15.205993333333334</v>
      </c>
    </row>
    <row r="112" spans="1:11" x14ac:dyDescent="0.3">
      <c r="A112">
        <v>70</v>
      </c>
      <c r="B112" s="13">
        <v>11.024506000000001</v>
      </c>
      <c r="C112" s="13">
        <v>16.235399999999998</v>
      </c>
      <c r="D112" s="13">
        <v>12.172420000000001</v>
      </c>
      <c r="E112" s="15">
        <f t="shared" si="10"/>
        <v>13.144108666666668</v>
      </c>
      <c r="G112">
        <v>70</v>
      </c>
      <c r="H112" s="13">
        <v>20.124400000000001</v>
      </c>
      <c r="I112" s="13">
        <v>12.306290000000001</v>
      </c>
      <c r="J112" s="13">
        <v>17.12593</v>
      </c>
      <c r="K112" s="15">
        <f t="shared" si="11"/>
        <v>16.518873333333332</v>
      </c>
    </row>
    <row r="113" spans="1:11" x14ac:dyDescent="0.3">
      <c r="E113" s="14"/>
      <c r="K113" s="14"/>
    </row>
    <row r="114" spans="1:11" ht="15.6" x14ac:dyDescent="0.35">
      <c r="A114" s="16" t="s">
        <v>80</v>
      </c>
      <c r="B114">
        <v>24.937000000000001</v>
      </c>
      <c r="C114" t="s">
        <v>109</v>
      </c>
      <c r="D114" t="s">
        <v>141</v>
      </c>
      <c r="E114" s="14"/>
      <c r="G114" s="16" t="s">
        <v>80</v>
      </c>
      <c r="H114">
        <v>81.553700000000006</v>
      </c>
      <c r="I114" t="s">
        <v>110</v>
      </c>
      <c r="J114" t="s">
        <v>141</v>
      </c>
      <c r="K114" s="14"/>
    </row>
    <row r="115" spans="1:11" ht="16.8" x14ac:dyDescent="0.35">
      <c r="A115" s="16" t="s">
        <v>84</v>
      </c>
      <c r="B115">
        <v>18.350000000000001</v>
      </c>
      <c r="C115" t="s">
        <v>111</v>
      </c>
      <c r="D115" t="s">
        <v>144</v>
      </c>
      <c r="E115" s="14"/>
      <c r="G115" s="16" t="s">
        <v>84</v>
      </c>
      <c r="H115">
        <v>37.1599</v>
      </c>
      <c r="I115" t="s">
        <v>112</v>
      </c>
      <c r="J115" t="s">
        <v>144</v>
      </c>
      <c r="K115" s="14"/>
    </row>
    <row r="116" spans="1:11" ht="16.8" x14ac:dyDescent="0.35">
      <c r="A116" s="17" t="s">
        <v>87</v>
      </c>
      <c r="B116" s="13">
        <f>B115/B114</f>
        <v>0.73585435296948309</v>
      </c>
      <c r="D116" t="s">
        <v>325</v>
      </c>
      <c r="E116" s="14"/>
      <c r="G116" s="17" t="s">
        <v>87</v>
      </c>
      <c r="H116" s="13">
        <f>H115/H114</f>
        <v>0.45564946777399429</v>
      </c>
      <c r="J116" t="s">
        <v>325</v>
      </c>
      <c r="K116" s="14"/>
    </row>
    <row r="117" spans="1:11" x14ac:dyDescent="0.3">
      <c r="E117" s="14"/>
      <c r="K117" s="14"/>
    </row>
    <row r="118" spans="1:11" x14ac:dyDescent="0.3">
      <c r="E118" s="14"/>
      <c r="K118" s="14"/>
    </row>
    <row r="119" spans="1:11" x14ac:dyDescent="0.3">
      <c r="A119" s="1" t="s">
        <v>113</v>
      </c>
      <c r="E119" s="14"/>
      <c r="K119" s="14"/>
    </row>
    <row r="120" spans="1:11" ht="16.8" x14ac:dyDescent="0.35">
      <c r="A120" s="1"/>
      <c r="B120" s="209" t="s">
        <v>348</v>
      </c>
      <c r="C120" s="209"/>
      <c r="D120" s="209"/>
      <c r="E120" s="207" t="s">
        <v>4</v>
      </c>
      <c r="H120" s="209" t="s">
        <v>348</v>
      </c>
      <c r="I120" s="209"/>
      <c r="J120" s="209"/>
      <c r="K120" s="207" t="s">
        <v>4</v>
      </c>
    </row>
    <row r="121" spans="1:11" x14ac:dyDescent="0.3">
      <c r="A121" t="s">
        <v>78</v>
      </c>
      <c r="B121" t="s">
        <v>7</v>
      </c>
      <c r="C121" t="s">
        <v>8</v>
      </c>
      <c r="D121" t="s">
        <v>9</v>
      </c>
      <c r="E121" s="207"/>
      <c r="G121" t="s">
        <v>79</v>
      </c>
      <c r="H121" t="s">
        <v>7</v>
      </c>
      <c r="I121" t="s">
        <v>8</v>
      </c>
      <c r="J121" t="s">
        <v>9</v>
      </c>
      <c r="K121" s="207"/>
    </row>
    <row r="122" spans="1:11" x14ac:dyDescent="0.3">
      <c r="A122">
        <v>1</v>
      </c>
      <c r="B122" s="13">
        <v>0.2145</v>
      </c>
      <c r="C122" s="13">
        <v>0.73721999999999999</v>
      </c>
      <c r="D122" s="13">
        <v>0.40360000000000001</v>
      </c>
      <c r="E122" s="15">
        <f>(B122+C122+D122)/3</f>
        <v>0.45177333333333336</v>
      </c>
      <c r="G122">
        <v>1</v>
      </c>
      <c r="H122" s="13">
        <v>0.2382</v>
      </c>
      <c r="I122" s="13">
        <v>0.71840999999999999</v>
      </c>
      <c r="J122" s="13">
        <v>0.47999000000000003</v>
      </c>
      <c r="K122" s="15">
        <f>(H122+I122+J122)/3</f>
        <v>0.47886666666666661</v>
      </c>
    </row>
    <row r="123" spans="1:11" x14ac:dyDescent="0.3">
      <c r="A123">
        <v>2</v>
      </c>
      <c r="B123" s="13">
        <v>1.8236399999999999</v>
      </c>
      <c r="C123" s="13">
        <v>1.212877</v>
      </c>
      <c r="D123" s="13">
        <v>2.5194700000000001</v>
      </c>
      <c r="E123" s="15">
        <f t="shared" ref="E123:E131" si="12">(B123+C123+D123)/3</f>
        <v>1.8519956666666666</v>
      </c>
      <c r="G123">
        <v>2</v>
      </c>
      <c r="H123" s="13">
        <v>2.39486</v>
      </c>
      <c r="I123" s="13">
        <v>1.1076600000000001</v>
      </c>
      <c r="J123" s="13">
        <v>0.91556999999999999</v>
      </c>
      <c r="K123" s="15">
        <f t="shared" ref="K123:K131" si="13">(H123+I123+J123)/3</f>
        <v>1.4726966666666668</v>
      </c>
    </row>
    <row r="124" spans="1:11" x14ac:dyDescent="0.3">
      <c r="A124">
        <v>4</v>
      </c>
      <c r="B124" s="13">
        <v>2.0558000000000001</v>
      </c>
      <c r="C124" s="13">
        <v>4.1357699999999999</v>
      </c>
      <c r="D124" s="13">
        <v>2.5054099999999999</v>
      </c>
      <c r="E124" s="15">
        <f t="shared" si="12"/>
        <v>2.8989933333333333</v>
      </c>
      <c r="G124">
        <v>4</v>
      </c>
      <c r="H124" s="13">
        <v>4.2133799999999999</v>
      </c>
      <c r="I124" s="13">
        <v>3.0376599999999998</v>
      </c>
      <c r="J124" s="13">
        <v>2.0384099999999998</v>
      </c>
      <c r="K124" s="15">
        <f t="shared" si="13"/>
        <v>3.096483333333333</v>
      </c>
    </row>
    <row r="125" spans="1:11" x14ac:dyDescent="0.3">
      <c r="A125">
        <v>8</v>
      </c>
      <c r="B125" s="13">
        <v>7.7454799999999997</v>
      </c>
      <c r="C125" s="13">
        <v>5.1796800000000003</v>
      </c>
      <c r="D125" s="13">
        <v>8.1607149999999997</v>
      </c>
      <c r="E125" s="15">
        <f t="shared" si="12"/>
        <v>7.0286250000000008</v>
      </c>
      <c r="G125">
        <v>8</v>
      </c>
      <c r="H125" s="13">
        <v>4.2751700000000001</v>
      </c>
      <c r="I125" s="13">
        <v>7.4692699999999999</v>
      </c>
      <c r="J125" s="13">
        <v>5.9192499999999999</v>
      </c>
      <c r="K125" s="15">
        <f t="shared" si="13"/>
        <v>5.8878966666666672</v>
      </c>
    </row>
    <row r="126" spans="1:11" x14ac:dyDescent="0.3">
      <c r="A126">
        <v>15</v>
      </c>
      <c r="B126" s="13">
        <v>7.2528100000000002</v>
      </c>
      <c r="C126" s="13">
        <v>9.3261699999999994</v>
      </c>
      <c r="D126" s="13">
        <v>6.8594900000000001</v>
      </c>
      <c r="E126" s="15">
        <f t="shared" si="12"/>
        <v>7.8128233333333341</v>
      </c>
      <c r="G126">
        <v>15</v>
      </c>
      <c r="H126" s="13">
        <v>12.13744</v>
      </c>
      <c r="I126" s="13">
        <v>8.0494000000000003</v>
      </c>
      <c r="J126" s="13">
        <v>8.6886299999999999</v>
      </c>
      <c r="K126" s="15">
        <f t="shared" si="13"/>
        <v>9.6251566666666672</v>
      </c>
    </row>
    <row r="127" spans="1:11" x14ac:dyDescent="0.3">
      <c r="A127">
        <v>20</v>
      </c>
      <c r="B127" s="13">
        <v>10.01126</v>
      </c>
      <c r="C127" s="13">
        <v>6.9032499999999999</v>
      </c>
      <c r="D127" s="13">
        <v>9.0009499999999996</v>
      </c>
      <c r="E127" s="15">
        <f t="shared" si="12"/>
        <v>8.6384866666666671</v>
      </c>
      <c r="G127">
        <v>20</v>
      </c>
      <c r="H127" s="13">
        <v>13.25215</v>
      </c>
      <c r="I127" s="13">
        <v>9.9260099999999998</v>
      </c>
      <c r="J127" s="13">
        <v>12.56901</v>
      </c>
      <c r="K127" s="15">
        <f t="shared" si="13"/>
        <v>11.915723333333332</v>
      </c>
    </row>
    <row r="128" spans="1:11" x14ac:dyDescent="0.3">
      <c r="A128">
        <v>25</v>
      </c>
      <c r="B128" s="13">
        <v>6.9215600000000004</v>
      </c>
      <c r="C128" s="13">
        <v>9.1244200000000006</v>
      </c>
      <c r="D128" s="13">
        <v>11.00564</v>
      </c>
      <c r="E128" s="15">
        <f t="shared" si="12"/>
        <v>9.0172066666666666</v>
      </c>
      <c r="G128">
        <v>25</v>
      </c>
      <c r="H128" s="13">
        <v>15.951499999999999</v>
      </c>
      <c r="I128" s="13">
        <v>9.1537000000000006</v>
      </c>
      <c r="J128" s="13">
        <v>12.5504</v>
      </c>
      <c r="K128" s="15">
        <f t="shared" si="13"/>
        <v>12.551866666666667</v>
      </c>
    </row>
    <row r="129" spans="1:11" x14ac:dyDescent="0.3">
      <c r="A129">
        <v>30</v>
      </c>
      <c r="B129" s="13">
        <v>12.48029</v>
      </c>
      <c r="C129" s="13">
        <v>9.7111000000000001</v>
      </c>
      <c r="D129" s="13">
        <v>8.9193099999999994</v>
      </c>
      <c r="E129" s="15">
        <f t="shared" si="12"/>
        <v>10.370233333333333</v>
      </c>
      <c r="G129">
        <v>30</v>
      </c>
      <c r="H129" s="13">
        <v>12.380100000000001</v>
      </c>
      <c r="I129" s="13">
        <v>16.9236</v>
      </c>
      <c r="J129" s="13">
        <v>14.7483</v>
      </c>
      <c r="K129" s="15">
        <f t="shared" si="13"/>
        <v>14.683999999999999</v>
      </c>
    </row>
    <row r="130" spans="1:11" x14ac:dyDescent="0.3">
      <c r="A130">
        <v>50</v>
      </c>
      <c r="B130" s="13">
        <v>9.8352299999999993</v>
      </c>
      <c r="C130" s="13">
        <v>10.618399999999999</v>
      </c>
      <c r="D130" s="13">
        <v>14.03905</v>
      </c>
      <c r="E130" s="15">
        <f t="shared" si="12"/>
        <v>11.497559999999998</v>
      </c>
      <c r="G130">
        <v>50</v>
      </c>
      <c r="H130" s="13">
        <v>14.9238</v>
      </c>
      <c r="I130" s="13">
        <v>19.916530000000002</v>
      </c>
      <c r="J130" s="13">
        <v>18.926100000000002</v>
      </c>
      <c r="K130" s="15">
        <f t="shared" si="13"/>
        <v>17.922143333333334</v>
      </c>
    </row>
    <row r="131" spans="1:11" x14ac:dyDescent="0.3">
      <c r="A131">
        <v>70</v>
      </c>
      <c r="B131" s="13">
        <v>15.5215</v>
      </c>
      <c r="C131" s="13">
        <v>11.827400000000001</v>
      </c>
      <c r="D131" s="13">
        <v>10.86842</v>
      </c>
      <c r="E131" s="15">
        <f t="shared" si="12"/>
        <v>12.739106666666666</v>
      </c>
      <c r="G131">
        <v>70</v>
      </c>
      <c r="H131" s="13">
        <v>18.753900000000002</v>
      </c>
      <c r="I131" s="13">
        <v>24.65578</v>
      </c>
      <c r="J131" s="13">
        <v>17.909870000000002</v>
      </c>
      <c r="K131" s="15">
        <f t="shared" si="13"/>
        <v>20.439850000000003</v>
      </c>
    </row>
    <row r="132" spans="1:11" x14ac:dyDescent="0.3">
      <c r="E132" s="14"/>
      <c r="K132" s="14"/>
    </row>
    <row r="133" spans="1:11" ht="15.6" x14ac:dyDescent="0.35">
      <c r="A133" s="16" t="s">
        <v>80</v>
      </c>
      <c r="B133">
        <v>12.8629</v>
      </c>
      <c r="C133" t="s">
        <v>114</v>
      </c>
      <c r="D133" t="s">
        <v>141</v>
      </c>
      <c r="E133" s="14"/>
      <c r="G133" s="16" t="s">
        <v>80</v>
      </c>
      <c r="H133">
        <v>31.9404</v>
      </c>
      <c r="I133" t="s">
        <v>115</v>
      </c>
      <c r="J133" t="s">
        <v>141</v>
      </c>
      <c r="K133" s="14"/>
    </row>
    <row r="134" spans="1:11" ht="16.8" x14ac:dyDescent="0.35">
      <c r="A134" s="16" t="s">
        <v>84</v>
      </c>
      <c r="B134">
        <v>14.64</v>
      </c>
      <c r="C134" t="s">
        <v>116</v>
      </c>
      <c r="D134" t="s">
        <v>144</v>
      </c>
      <c r="E134" s="14"/>
      <c r="G134" s="16" t="s">
        <v>84</v>
      </c>
      <c r="H134">
        <v>29.701499999999999</v>
      </c>
      <c r="I134" t="s">
        <v>117</v>
      </c>
      <c r="J134" t="s">
        <v>144</v>
      </c>
      <c r="K134" s="14"/>
    </row>
    <row r="135" spans="1:11" ht="16.8" x14ac:dyDescent="0.35">
      <c r="A135" s="17" t="s">
        <v>87</v>
      </c>
      <c r="B135" s="13">
        <f>B134/B133</f>
        <v>1.1381570252431412</v>
      </c>
      <c r="D135" t="s">
        <v>325</v>
      </c>
      <c r="E135" s="14"/>
      <c r="G135" s="17" t="s">
        <v>87</v>
      </c>
      <c r="H135" s="13">
        <f>H134/H133</f>
        <v>0.92990382086636358</v>
      </c>
      <c r="J135" t="s">
        <v>325</v>
      </c>
      <c r="K135" s="14"/>
    </row>
    <row r="136" spans="1:11" x14ac:dyDescent="0.3">
      <c r="E136" s="14"/>
      <c r="K136" s="14"/>
    </row>
    <row r="137" spans="1:11" x14ac:dyDescent="0.3">
      <c r="E137" s="14"/>
      <c r="K137" s="14"/>
    </row>
    <row r="138" spans="1:11" x14ac:dyDescent="0.3">
      <c r="A138" s="1" t="s">
        <v>118</v>
      </c>
      <c r="E138" s="14"/>
      <c r="K138" s="14"/>
    </row>
    <row r="139" spans="1:11" ht="16.8" x14ac:dyDescent="0.35">
      <c r="A139" s="1"/>
      <c r="B139" s="209" t="s">
        <v>348</v>
      </c>
      <c r="C139" s="209"/>
      <c r="D139" s="209"/>
      <c r="E139" s="207" t="s">
        <v>4</v>
      </c>
      <c r="H139" s="209" t="s">
        <v>348</v>
      </c>
      <c r="I139" s="209"/>
      <c r="J139" s="209"/>
      <c r="K139" s="207" t="s">
        <v>4</v>
      </c>
    </row>
    <row r="140" spans="1:11" x14ac:dyDescent="0.3">
      <c r="A140" t="s">
        <v>78</v>
      </c>
      <c r="B140" t="s">
        <v>7</v>
      </c>
      <c r="C140" t="s">
        <v>8</v>
      </c>
      <c r="D140" t="s">
        <v>9</v>
      </c>
      <c r="E140" s="207"/>
      <c r="G140" t="s">
        <v>79</v>
      </c>
      <c r="H140" t="s">
        <v>7</v>
      </c>
      <c r="I140" t="s">
        <v>8</v>
      </c>
      <c r="J140" t="s">
        <v>9</v>
      </c>
      <c r="K140" s="207"/>
    </row>
    <row r="141" spans="1:11" x14ac:dyDescent="0.3">
      <c r="A141">
        <v>1</v>
      </c>
      <c r="B141" s="13">
        <v>0.74522999999999995</v>
      </c>
      <c r="C141" s="13">
        <v>0.85738000000000003</v>
      </c>
      <c r="D141" s="13">
        <v>1.2035</v>
      </c>
      <c r="E141" s="15">
        <f>(B141+C141+D141)/3</f>
        <v>0.93536999999999992</v>
      </c>
      <c r="G141">
        <v>1</v>
      </c>
      <c r="H141" s="13">
        <v>0.28456999999999999</v>
      </c>
      <c r="I141" s="13">
        <v>0.31779000000000002</v>
      </c>
      <c r="J141" s="13">
        <v>0.52578000000000003</v>
      </c>
      <c r="K141" s="15">
        <f>(H141+I141+J141)/3</f>
        <v>0.3760466666666667</v>
      </c>
    </row>
    <row r="142" spans="1:11" x14ac:dyDescent="0.3">
      <c r="A142">
        <v>2</v>
      </c>
      <c r="B142" s="13">
        <v>1.2343</v>
      </c>
      <c r="C142" s="13">
        <v>1.4376</v>
      </c>
      <c r="D142" s="13">
        <v>1.7452300000000001</v>
      </c>
      <c r="E142" s="15">
        <f t="shared" ref="E142:E150" si="14">(B142+C142+D142)/3</f>
        <v>1.4723766666666667</v>
      </c>
      <c r="G142">
        <v>2</v>
      </c>
      <c r="H142" s="13">
        <v>0.78971999999999998</v>
      </c>
      <c r="I142" s="13">
        <v>0.87953999999999999</v>
      </c>
      <c r="J142" s="13">
        <v>1.02091</v>
      </c>
      <c r="K142" s="15">
        <f t="shared" ref="K142:K150" si="15">(H142+I142+J142)/3</f>
        <v>0.89672333333333343</v>
      </c>
    </row>
    <row r="143" spans="1:11" x14ac:dyDescent="0.3">
      <c r="A143">
        <v>4</v>
      </c>
      <c r="B143" s="13">
        <v>3.4216000000000002</v>
      </c>
      <c r="C143" s="13">
        <v>2.9643999999999999</v>
      </c>
      <c r="D143" s="13">
        <v>3.4214000000000002</v>
      </c>
      <c r="E143" s="15">
        <f t="shared" si="14"/>
        <v>3.2691333333333339</v>
      </c>
      <c r="G143">
        <v>4</v>
      </c>
      <c r="H143" s="13">
        <v>3.3521000000000001</v>
      </c>
      <c r="I143" s="13">
        <v>1.5778000000000001</v>
      </c>
      <c r="J143" s="13">
        <v>4.0389799999999996</v>
      </c>
      <c r="K143" s="15">
        <f t="shared" si="15"/>
        <v>2.9896266666666662</v>
      </c>
    </row>
    <row r="144" spans="1:11" x14ac:dyDescent="0.3">
      <c r="A144">
        <v>8</v>
      </c>
      <c r="B144" s="13">
        <v>3.6710400000000001</v>
      </c>
      <c r="C144" s="13">
        <v>5.2111000000000001</v>
      </c>
      <c r="D144" s="13">
        <v>4.1230900000000004</v>
      </c>
      <c r="E144" s="15">
        <f t="shared" si="14"/>
        <v>4.3350766666666667</v>
      </c>
      <c r="G144">
        <v>8</v>
      </c>
      <c r="H144" s="13">
        <v>5.1494</v>
      </c>
      <c r="I144" s="13">
        <v>8.5422100000000007</v>
      </c>
      <c r="J144" s="13">
        <v>5.2685399999999998</v>
      </c>
      <c r="K144" s="15">
        <f t="shared" si="15"/>
        <v>6.3200499999999993</v>
      </c>
    </row>
    <row r="145" spans="1:11" x14ac:dyDescent="0.3">
      <c r="A145">
        <v>15</v>
      </c>
      <c r="B145" s="13">
        <v>3.0154079999999999</v>
      </c>
      <c r="C145" s="13">
        <v>4.0261899999999997</v>
      </c>
      <c r="D145" s="13">
        <v>6.0247599999999997</v>
      </c>
      <c r="E145" s="15">
        <f t="shared" si="14"/>
        <v>4.3554526666666664</v>
      </c>
      <c r="G145">
        <v>15</v>
      </c>
      <c r="H145" s="13">
        <v>8.0885999999999996</v>
      </c>
      <c r="I145" s="13">
        <v>5.03979</v>
      </c>
      <c r="J145" s="13">
        <v>7.1694300000000002</v>
      </c>
      <c r="K145" s="15">
        <f t="shared" si="15"/>
        <v>6.7659400000000005</v>
      </c>
    </row>
    <row r="146" spans="1:11" x14ac:dyDescent="0.3">
      <c r="A146">
        <v>20</v>
      </c>
      <c r="B146" s="13">
        <v>5.1280999999999999</v>
      </c>
      <c r="C146" s="13">
        <v>3.80247</v>
      </c>
      <c r="D146" s="13">
        <v>4.6234999999999999</v>
      </c>
      <c r="E146" s="15">
        <f t="shared" si="14"/>
        <v>4.5180233333333328</v>
      </c>
      <c r="G146">
        <v>20</v>
      </c>
      <c r="H146" s="13">
        <v>10.952299999999999</v>
      </c>
      <c r="I146" s="13">
        <v>9.1714400000000005</v>
      </c>
      <c r="J146" s="13">
        <v>12.745100000000001</v>
      </c>
      <c r="K146" s="15">
        <f t="shared" si="15"/>
        <v>10.95628</v>
      </c>
    </row>
    <row r="147" spans="1:11" x14ac:dyDescent="0.3">
      <c r="A147">
        <v>25</v>
      </c>
      <c r="B147" s="13">
        <v>5.2310999999999996</v>
      </c>
      <c r="C147" s="13">
        <v>4.7024999999999997</v>
      </c>
      <c r="D147" s="13">
        <v>8.2298200000000001</v>
      </c>
      <c r="E147" s="15">
        <f t="shared" si="14"/>
        <v>6.0544733333333332</v>
      </c>
      <c r="G147">
        <v>25</v>
      </c>
      <c r="H147" s="13">
        <v>13.854699999999999</v>
      </c>
      <c r="I147" s="13">
        <v>10.948</v>
      </c>
      <c r="J147" s="13">
        <v>10.485469999999999</v>
      </c>
      <c r="K147" s="15">
        <f t="shared" si="15"/>
        <v>11.762723333333334</v>
      </c>
    </row>
    <row r="148" spans="1:11" x14ac:dyDescent="0.3">
      <c r="A148">
        <v>30</v>
      </c>
      <c r="B148" s="13">
        <v>3.2653500000000002</v>
      </c>
      <c r="C148" s="13">
        <v>5.6840999999999999</v>
      </c>
      <c r="D148" s="13">
        <v>8.2260600000000004</v>
      </c>
      <c r="E148" s="15">
        <f t="shared" si="14"/>
        <v>5.7251700000000012</v>
      </c>
      <c r="G148">
        <v>30</v>
      </c>
      <c r="H148" s="13">
        <v>9.1551399999999994</v>
      </c>
      <c r="I148" s="13">
        <v>14.27773</v>
      </c>
      <c r="J148" s="13">
        <v>13.04956</v>
      </c>
      <c r="K148" s="15">
        <f t="shared" si="15"/>
        <v>12.16081</v>
      </c>
    </row>
    <row r="149" spans="1:11" x14ac:dyDescent="0.3">
      <c r="A149">
        <v>50</v>
      </c>
      <c r="B149" s="13">
        <v>7.7024999999999997</v>
      </c>
      <c r="C149" s="13">
        <v>6.0254300000000001</v>
      </c>
      <c r="D149" s="13">
        <v>9.1379800000000007</v>
      </c>
      <c r="E149" s="15">
        <f t="shared" si="14"/>
        <v>7.6219700000000001</v>
      </c>
      <c r="G149">
        <v>50</v>
      </c>
      <c r="H149" s="13">
        <v>12.8104</v>
      </c>
      <c r="I149" s="13">
        <v>17.220400000000001</v>
      </c>
      <c r="J149" s="13">
        <v>13.054880000000001</v>
      </c>
      <c r="K149" s="15">
        <f>(H149+I149+J149)/3</f>
        <v>14.361893333333333</v>
      </c>
    </row>
    <row r="150" spans="1:11" x14ac:dyDescent="0.3">
      <c r="A150">
        <v>70</v>
      </c>
      <c r="B150" s="13">
        <v>10.035410000000001</v>
      </c>
      <c r="C150" s="13">
        <v>9.0837500000000002</v>
      </c>
      <c r="D150" s="13">
        <v>6.0457000000000001</v>
      </c>
      <c r="E150" s="15">
        <f t="shared" si="14"/>
        <v>8.3882866666666676</v>
      </c>
      <c r="G150">
        <v>70</v>
      </c>
      <c r="H150" s="13">
        <v>13.428800000000001</v>
      </c>
      <c r="I150" s="13">
        <v>20.328099999999999</v>
      </c>
      <c r="J150" s="13">
        <v>15.1698</v>
      </c>
      <c r="K150" s="15">
        <f t="shared" si="15"/>
        <v>16.308900000000001</v>
      </c>
    </row>
    <row r="151" spans="1:11" x14ac:dyDescent="0.3">
      <c r="E151" s="14"/>
      <c r="K151" s="14"/>
    </row>
    <row r="152" spans="1:11" ht="15.6" x14ac:dyDescent="0.35">
      <c r="A152" s="16" t="s">
        <v>80</v>
      </c>
      <c r="B152">
        <v>11.7591</v>
      </c>
      <c r="C152" t="s">
        <v>119</v>
      </c>
      <c r="D152" t="s">
        <v>141</v>
      </c>
      <c r="E152" s="14"/>
      <c r="G152" s="16" t="s">
        <v>80</v>
      </c>
      <c r="H152">
        <v>23.982700000000001</v>
      </c>
      <c r="I152" t="s">
        <v>120</v>
      </c>
      <c r="J152" t="s">
        <v>141</v>
      </c>
      <c r="K152" s="14"/>
    </row>
    <row r="153" spans="1:11" ht="16.8" x14ac:dyDescent="0.35">
      <c r="A153" s="16" t="s">
        <v>84</v>
      </c>
      <c r="B153">
        <v>8.9221000000000004</v>
      </c>
      <c r="C153" t="s">
        <v>121</v>
      </c>
      <c r="D153" t="s">
        <v>144</v>
      </c>
      <c r="E153" s="14"/>
      <c r="G153" s="16" t="s">
        <v>84</v>
      </c>
      <c r="H153">
        <v>21.860099999999999</v>
      </c>
      <c r="I153" t="s">
        <v>122</v>
      </c>
      <c r="J153" t="s">
        <v>144</v>
      </c>
      <c r="K153" s="14"/>
    </row>
    <row r="154" spans="1:11" ht="16.8" x14ac:dyDescent="0.35">
      <c r="A154" s="17" t="s">
        <v>87</v>
      </c>
      <c r="B154" s="13">
        <f>B153/B152</f>
        <v>0.75874003962888315</v>
      </c>
      <c r="D154" t="s">
        <v>325</v>
      </c>
      <c r="E154" s="14"/>
      <c r="G154" s="17" t="s">
        <v>87</v>
      </c>
      <c r="H154" s="13">
        <f>H153/H152</f>
        <v>0.9114945356444436</v>
      </c>
      <c r="J154" t="s">
        <v>325</v>
      </c>
      <c r="K154" s="14"/>
    </row>
    <row r="155" spans="1:11" x14ac:dyDescent="0.3">
      <c r="E155" s="14"/>
      <c r="K155" s="14"/>
    </row>
    <row r="156" spans="1:11" x14ac:dyDescent="0.3">
      <c r="E156" s="14"/>
      <c r="K156" s="14"/>
    </row>
    <row r="157" spans="1:11" x14ac:dyDescent="0.3">
      <c r="A157" s="1" t="s">
        <v>123</v>
      </c>
      <c r="E157" s="14"/>
      <c r="K157" s="14"/>
    </row>
    <row r="158" spans="1:11" ht="16.8" x14ac:dyDescent="0.35">
      <c r="A158" s="1"/>
      <c r="B158" s="209" t="s">
        <v>348</v>
      </c>
      <c r="C158" s="209"/>
      <c r="D158" s="209"/>
      <c r="E158" s="207" t="s">
        <v>4</v>
      </c>
      <c r="H158" s="209" t="s">
        <v>348</v>
      </c>
      <c r="I158" s="209"/>
      <c r="J158" s="209"/>
      <c r="K158" s="207" t="s">
        <v>4</v>
      </c>
    </row>
    <row r="159" spans="1:11" x14ac:dyDescent="0.3">
      <c r="A159" t="s">
        <v>78</v>
      </c>
      <c r="B159" t="s">
        <v>7</v>
      </c>
      <c r="C159" t="s">
        <v>8</v>
      </c>
      <c r="D159" t="s">
        <v>9</v>
      </c>
      <c r="E159" s="207"/>
      <c r="G159" t="s">
        <v>79</v>
      </c>
      <c r="H159" t="s">
        <v>7</v>
      </c>
      <c r="I159" t="s">
        <v>8</v>
      </c>
      <c r="J159" t="s">
        <v>9</v>
      </c>
      <c r="K159" s="207"/>
    </row>
    <row r="160" spans="1:11" x14ac:dyDescent="0.3">
      <c r="A160">
        <v>1</v>
      </c>
      <c r="B160" s="13">
        <v>7.5360000000000002E-3</v>
      </c>
      <c r="C160" s="13">
        <v>9.5309999999999995E-3</v>
      </c>
      <c r="D160" s="13">
        <v>8.7810000000000006E-3</v>
      </c>
      <c r="E160" s="15">
        <f>(B160+C160+D160)/3</f>
        <v>8.6160000000000004E-3</v>
      </c>
      <c r="G160">
        <v>1</v>
      </c>
      <c r="H160" s="13">
        <v>1.6899999999999998E-2</v>
      </c>
      <c r="I160" s="13">
        <v>2.9839999999999998E-2</v>
      </c>
      <c r="J160" s="13">
        <v>1.7932E-2</v>
      </c>
      <c r="K160" s="22">
        <f>(H160+I160+J160)/3</f>
        <v>2.1557333333333331E-2</v>
      </c>
    </row>
    <row r="161" spans="1:11" x14ac:dyDescent="0.3">
      <c r="A161">
        <v>2</v>
      </c>
      <c r="B161" s="13">
        <v>1.4239E-2</v>
      </c>
      <c r="C161" s="13">
        <v>2.1552000000000002E-2</v>
      </c>
      <c r="D161" s="13">
        <v>1.13598E-2</v>
      </c>
      <c r="E161" s="15">
        <f t="shared" ref="E161:E169" si="16">(B161+C161+D161)/3</f>
        <v>1.5716933333333336E-2</v>
      </c>
      <c r="G161">
        <v>2</v>
      </c>
      <c r="H161" s="13">
        <v>0.12305000000000001</v>
      </c>
      <c r="I161" s="13">
        <v>0.19413</v>
      </c>
      <c r="J161" s="13">
        <v>0.11215</v>
      </c>
      <c r="K161" s="22">
        <f t="shared" ref="K161:K169" si="17">(H161+I161+J161)/3</f>
        <v>0.14310999999999999</v>
      </c>
    </row>
    <row r="162" spans="1:11" x14ac:dyDescent="0.3">
      <c r="A162">
        <v>4</v>
      </c>
      <c r="B162" s="13">
        <v>6.0933000000000001E-2</v>
      </c>
      <c r="C162" s="13">
        <v>4.1026E-2</v>
      </c>
      <c r="D162" s="13">
        <v>5.1116000000000002E-2</v>
      </c>
      <c r="E162" s="15">
        <f t="shared" si="16"/>
        <v>5.1024999999999994E-2</v>
      </c>
      <c r="G162">
        <v>4</v>
      </c>
      <c r="H162" s="13">
        <v>0.17111999999999999</v>
      </c>
      <c r="I162" s="13">
        <v>9.1038999999999995E-2</v>
      </c>
      <c r="J162" s="13">
        <v>0.21018000000000001</v>
      </c>
      <c r="K162" s="22">
        <f t="shared" si="17"/>
        <v>0.15744633333333333</v>
      </c>
    </row>
    <row r="163" spans="1:11" x14ac:dyDescent="0.3">
      <c r="A163">
        <v>8</v>
      </c>
      <c r="B163" s="13">
        <v>0.13014000000000001</v>
      </c>
      <c r="C163" s="13">
        <v>7.6198000000000002E-2</v>
      </c>
      <c r="D163" s="13">
        <v>5.8499000000000002E-2</v>
      </c>
      <c r="E163" s="15">
        <f t="shared" si="16"/>
        <v>8.827900000000001E-2</v>
      </c>
      <c r="G163">
        <v>8</v>
      </c>
      <c r="H163" s="13">
        <v>0.47021000000000002</v>
      </c>
      <c r="I163" s="13">
        <v>0.61231000000000002</v>
      </c>
      <c r="J163" s="13">
        <v>0.221445</v>
      </c>
      <c r="K163" s="22">
        <f t="shared" si="17"/>
        <v>0.43465500000000007</v>
      </c>
    </row>
    <row r="164" spans="1:11" x14ac:dyDescent="0.3">
      <c r="A164">
        <v>15</v>
      </c>
      <c r="B164" s="13">
        <v>0.15542</v>
      </c>
      <c r="C164" s="13">
        <v>8.5291000000000006E-2</v>
      </c>
      <c r="D164" s="13">
        <v>0.109523</v>
      </c>
      <c r="E164" s="15">
        <f>(B164+C164+D164)/3</f>
        <v>0.11674466666666666</v>
      </c>
      <c r="G164">
        <v>15</v>
      </c>
      <c r="H164" s="13">
        <v>0.70230000000000004</v>
      </c>
      <c r="I164" s="13">
        <v>0.35509000000000002</v>
      </c>
      <c r="J164" s="13">
        <v>0.43909999999999999</v>
      </c>
      <c r="K164" s="22">
        <f t="shared" si="17"/>
        <v>0.49883000000000005</v>
      </c>
    </row>
    <row r="165" spans="1:11" x14ac:dyDescent="0.3">
      <c r="A165">
        <v>20</v>
      </c>
      <c r="B165" s="13">
        <v>0.17423</v>
      </c>
      <c r="C165" s="13">
        <v>0.10144499999999999</v>
      </c>
      <c r="D165" s="13">
        <v>9.5352000000000006E-2</v>
      </c>
      <c r="E165" s="15">
        <f>(B165+C165+D165)/3</f>
        <v>0.12367566666666667</v>
      </c>
      <c r="G165">
        <v>20</v>
      </c>
      <c r="H165" s="13">
        <v>1.02546</v>
      </c>
      <c r="I165" s="13">
        <v>0.65441000000000005</v>
      </c>
      <c r="J165" s="13">
        <v>0.73182000000000003</v>
      </c>
      <c r="K165" s="22">
        <f t="shared" si="17"/>
        <v>0.8038966666666667</v>
      </c>
    </row>
    <row r="166" spans="1:11" x14ac:dyDescent="0.3">
      <c r="A166">
        <v>25</v>
      </c>
      <c r="B166" s="13">
        <v>8.3019999999999997E-2</v>
      </c>
      <c r="C166" s="13">
        <v>0.20124500000000001</v>
      </c>
      <c r="D166" s="13">
        <v>0.11235000000000001</v>
      </c>
      <c r="E166" s="15">
        <f t="shared" si="16"/>
        <v>0.13220499999999999</v>
      </c>
      <c r="G166">
        <v>25</v>
      </c>
      <c r="H166" s="13">
        <v>0.91027000000000002</v>
      </c>
      <c r="I166" s="13">
        <v>0.60282000000000002</v>
      </c>
      <c r="J166" s="13">
        <v>0.31251000000000001</v>
      </c>
      <c r="K166" s="22">
        <f t="shared" si="17"/>
        <v>0.60853333333333337</v>
      </c>
    </row>
    <row r="167" spans="1:11" x14ac:dyDescent="0.3">
      <c r="A167">
        <v>30</v>
      </c>
      <c r="B167" s="13">
        <v>0.112354</v>
      </c>
      <c r="C167" s="13">
        <v>0.24143800000000001</v>
      </c>
      <c r="D167" s="13">
        <v>0.12051000000000001</v>
      </c>
      <c r="E167" s="15">
        <f t="shared" si="16"/>
        <v>0.15810066666666667</v>
      </c>
      <c r="G167">
        <v>30</v>
      </c>
      <c r="H167" s="13">
        <v>1.21163</v>
      </c>
      <c r="I167" s="13">
        <v>1.12035</v>
      </c>
      <c r="J167" s="13">
        <v>0.65693999999999997</v>
      </c>
      <c r="K167" s="22">
        <f t="shared" si="17"/>
        <v>0.99630666666666656</v>
      </c>
    </row>
    <row r="168" spans="1:11" x14ac:dyDescent="0.3">
      <c r="A168">
        <v>50</v>
      </c>
      <c r="B168" s="13">
        <v>0.19325000000000001</v>
      </c>
      <c r="C168" s="13">
        <v>0.11754000000000001</v>
      </c>
      <c r="D168" s="13">
        <v>0.21393000000000001</v>
      </c>
      <c r="E168" s="15">
        <f t="shared" si="16"/>
        <v>0.17490666666666668</v>
      </c>
      <c r="G168">
        <v>50</v>
      </c>
      <c r="H168" s="13">
        <v>1.13256</v>
      </c>
      <c r="I168" s="13">
        <v>1.6167499999999999</v>
      </c>
      <c r="J168" s="13">
        <v>1.91523</v>
      </c>
      <c r="K168" s="22">
        <f t="shared" si="17"/>
        <v>1.5548466666666665</v>
      </c>
    </row>
    <row r="169" spans="1:11" x14ac:dyDescent="0.3">
      <c r="A169">
        <v>70</v>
      </c>
      <c r="B169" s="13">
        <v>0.16486999999999999</v>
      </c>
      <c r="C169" s="13">
        <v>0.23424</v>
      </c>
      <c r="D169" s="13">
        <v>0.20144999999999999</v>
      </c>
      <c r="E169" s="15">
        <f t="shared" si="16"/>
        <v>0.20018666666666665</v>
      </c>
      <c r="G169">
        <v>70</v>
      </c>
      <c r="H169" s="13">
        <v>1.86059</v>
      </c>
      <c r="I169" s="13">
        <v>1.214135</v>
      </c>
      <c r="J169" s="13">
        <v>2.1033400000000002</v>
      </c>
      <c r="K169" s="22">
        <f t="shared" si="17"/>
        <v>1.7260216666666668</v>
      </c>
    </row>
    <row r="170" spans="1:11" x14ac:dyDescent="0.3">
      <c r="E170" s="14"/>
      <c r="K170" s="14"/>
    </row>
    <row r="171" spans="1:11" ht="15.6" x14ac:dyDescent="0.35">
      <c r="A171" s="16" t="s">
        <v>80</v>
      </c>
      <c r="B171">
        <v>16.886600000000001</v>
      </c>
      <c r="C171" t="s">
        <v>124</v>
      </c>
      <c r="D171" t="s">
        <v>141</v>
      </c>
      <c r="E171" s="14"/>
      <c r="G171" s="16" t="s">
        <v>80</v>
      </c>
      <c r="H171">
        <v>110.515</v>
      </c>
      <c r="I171" t="s">
        <v>125</v>
      </c>
      <c r="J171" t="s">
        <v>141</v>
      </c>
      <c r="K171" s="14"/>
    </row>
    <row r="172" spans="1:11" ht="16.8" x14ac:dyDescent="0.35">
      <c r="A172" s="16" t="s">
        <v>84</v>
      </c>
      <c r="B172" s="13">
        <v>0.24</v>
      </c>
      <c r="C172" t="s">
        <v>126</v>
      </c>
      <c r="D172" t="s">
        <v>144</v>
      </c>
      <c r="E172" s="14"/>
      <c r="G172" s="16" t="s">
        <v>84</v>
      </c>
      <c r="H172" s="13">
        <v>4.58</v>
      </c>
      <c r="I172" t="s">
        <v>127</v>
      </c>
      <c r="J172" t="s">
        <v>144</v>
      </c>
      <c r="K172" s="14"/>
    </row>
    <row r="173" spans="1:11" ht="16.8" x14ac:dyDescent="0.35">
      <c r="A173" s="17" t="s">
        <v>87</v>
      </c>
      <c r="B173" s="13">
        <f>B172/B171</f>
        <v>1.4212452477112027E-2</v>
      </c>
      <c r="D173" t="s">
        <v>325</v>
      </c>
      <c r="E173" s="14"/>
      <c r="G173" s="17" t="s">
        <v>87</v>
      </c>
      <c r="H173" s="13">
        <f>H172/H171</f>
        <v>4.1442338144143331E-2</v>
      </c>
      <c r="J173" t="s">
        <v>325</v>
      </c>
      <c r="K173" s="14"/>
    </row>
    <row r="174" spans="1:11" x14ac:dyDescent="0.3">
      <c r="E174" s="14"/>
      <c r="K174" s="14"/>
    </row>
    <row r="175" spans="1:11" x14ac:dyDescent="0.3">
      <c r="E175" s="14"/>
      <c r="K175" s="14"/>
    </row>
    <row r="176" spans="1:11" x14ac:dyDescent="0.3">
      <c r="A176" s="1" t="s">
        <v>128</v>
      </c>
      <c r="E176" s="14"/>
      <c r="K176" s="14"/>
    </row>
    <row r="177" spans="1:11" ht="16.8" x14ac:dyDescent="0.35">
      <c r="A177" s="1"/>
      <c r="B177" s="209" t="s">
        <v>348</v>
      </c>
      <c r="C177" s="209"/>
      <c r="D177" s="209"/>
      <c r="E177" s="207" t="s">
        <v>4</v>
      </c>
      <c r="H177" s="209" t="s">
        <v>348</v>
      </c>
      <c r="I177" s="209"/>
      <c r="J177" s="209"/>
      <c r="K177" s="207" t="s">
        <v>4</v>
      </c>
    </row>
    <row r="178" spans="1:11" x14ac:dyDescent="0.3">
      <c r="A178" t="s">
        <v>78</v>
      </c>
      <c r="B178" t="s">
        <v>7</v>
      </c>
      <c r="C178" t="s">
        <v>8</v>
      </c>
      <c r="D178" t="s">
        <v>9</v>
      </c>
      <c r="E178" s="207"/>
      <c r="G178" t="s">
        <v>79</v>
      </c>
      <c r="H178" t="s">
        <v>7</v>
      </c>
      <c r="I178" t="s">
        <v>8</v>
      </c>
      <c r="J178" t="s">
        <v>9</v>
      </c>
      <c r="K178" s="207"/>
    </row>
    <row r="179" spans="1:11" x14ac:dyDescent="0.3">
      <c r="A179">
        <v>1</v>
      </c>
      <c r="B179" s="13">
        <v>1.12365E-2</v>
      </c>
      <c r="C179" s="13">
        <v>1.4429600000000001E-2</v>
      </c>
      <c r="D179" s="13">
        <v>2.29941E-2</v>
      </c>
      <c r="E179" s="15">
        <f>(B179+C179+D179)/3</f>
        <v>1.6220066666666668E-2</v>
      </c>
      <c r="G179">
        <v>1</v>
      </c>
      <c r="H179" s="13">
        <v>4.9514000000000002E-2</v>
      </c>
      <c r="I179" s="13">
        <v>7.4560000000000001E-2</v>
      </c>
      <c r="J179" s="13">
        <v>6.2039999999999998E-2</v>
      </c>
      <c r="K179" s="15">
        <f>(H179+I179+J179)/3</f>
        <v>6.2038000000000003E-2</v>
      </c>
    </row>
    <row r="180" spans="1:11" x14ac:dyDescent="0.3">
      <c r="A180">
        <v>2</v>
      </c>
      <c r="B180" s="13">
        <v>7.2459999999999997E-2</v>
      </c>
      <c r="C180" s="13">
        <v>4.0062E-2</v>
      </c>
      <c r="D180" s="13">
        <v>8.3019999999999997E-2</v>
      </c>
      <c r="E180" s="15">
        <f t="shared" ref="E180:E188" si="18">(B180+C180+D180)/3</f>
        <v>6.5180666666666665E-2</v>
      </c>
      <c r="G180">
        <v>2</v>
      </c>
      <c r="H180" s="13">
        <v>0.12026000000000001</v>
      </c>
      <c r="I180" s="13">
        <v>0.13222</v>
      </c>
      <c r="J180" s="13">
        <v>8.6309999999999998E-2</v>
      </c>
      <c r="K180" s="15">
        <f t="shared" ref="K180:K188" si="19">(H180+I180+J180)/3</f>
        <v>0.11293000000000002</v>
      </c>
    </row>
    <row r="181" spans="1:11" x14ac:dyDescent="0.3">
      <c r="A181">
        <v>4</v>
      </c>
      <c r="B181" s="13">
        <v>7.1214E-2</v>
      </c>
      <c r="C181" s="13">
        <v>6.2161000000000001E-2</v>
      </c>
      <c r="D181" s="13">
        <v>0.11342000000000001</v>
      </c>
      <c r="E181" s="15">
        <f t="shared" si="18"/>
        <v>8.2264999999999991E-2</v>
      </c>
      <c r="G181">
        <v>4</v>
      </c>
      <c r="H181" s="13">
        <v>0.15851999999999999</v>
      </c>
      <c r="I181" s="13">
        <v>0.20723</v>
      </c>
      <c r="J181" s="13">
        <v>0.11235000000000001</v>
      </c>
      <c r="K181" s="15">
        <f t="shared" si="19"/>
        <v>0.15936666666666668</v>
      </c>
    </row>
    <row r="182" spans="1:11" x14ac:dyDescent="0.3">
      <c r="A182">
        <v>8</v>
      </c>
      <c r="B182" s="13">
        <v>9.6321000000000004E-2</v>
      </c>
      <c r="C182" s="13">
        <v>0.21540899999999999</v>
      </c>
      <c r="D182" s="13">
        <v>0.13242999999999999</v>
      </c>
      <c r="E182" s="15">
        <f t="shared" si="18"/>
        <v>0.14805333333333334</v>
      </c>
      <c r="G182">
        <v>8</v>
      </c>
      <c r="H182" s="13">
        <v>0.21209800000000001</v>
      </c>
      <c r="I182" s="13">
        <v>0.1714</v>
      </c>
      <c r="J182" s="13">
        <v>0.18532999999999999</v>
      </c>
      <c r="K182" s="15">
        <f t="shared" si="19"/>
        <v>0.18960933333333332</v>
      </c>
    </row>
    <row r="183" spans="1:11" x14ac:dyDescent="0.3">
      <c r="A183">
        <v>15</v>
      </c>
      <c r="B183" s="13">
        <v>0.34551999999999999</v>
      </c>
      <c r="C183" s="13">
        <v>0.19592999999999999</v>
      </c>
      <c r="D183" s="13">
        <v>0.24593999999999999</v>
      </c>
      <c r="E183" s="15">
        <f t="shared" si="18"/>
        <v>0.26246333333333333</v>
      </c>
      <c r="G183">
        <v>15</v>
      </c>
      <c r="H183" s="13">
        <v>0.25511</v>
      </c>
      <c r="I183" s="13">
        <v>0.30175999999999997</v>
      </c>
      <c r="J183" s="13">
        <v>0.18260000000000001</v>
      </c>
      <c r="K183" s="15">
        <f t="shared" si="19"/>
        <v>0.24648999999999999</v>
      </c>
    </row>
    <row r="184" spans="1:11" x14ac:dyDescent="0.3">
      <c r="A184">
        <v>20</v>
      </c>
      <c r="B184" s="13">
        <v>0.31956000000000001</v>
      </c>
      <c r="C184" s="13">
        <v>0.11099000000000001</v>
      </c>
      <c r="D184" s="13">
        <v>0.42155999999999999</v>
      </c>
      <c r="E184" s="15">
        <f t="shared" si="18"/>
        <v>0.28403666666666666</v>
      </c>
      <c r="G184">
        <v>20</v>
      </c>
      <c r="H184" s="13">
        <v>0.34964000000000001</v>
      </c>
      <c r="I184" s="13">
        <v>0.38980999999999999</v>
      </c>
      <c r="J184" s="13">
        <v>0.24990000000000001</v>
      </c>
      <c r="K184" s="15">
        <f t="shared" si="19"/>
        <v>0.32978333333333332</v>
      </c>
    </row>
    <row r="185" spans="1:11" x14ac:dyDescent="0.3">
      <c r="A185">
        <v>25</v>
      </c>
      <c r="B185" s="13">
        <v>0.41249999999999998</v>
      </c>
      <c r="C185" s="13">
        <v>0.15236</v>
      </c>
      <c r="D185" s="13">
        <v>0.34520000000000001</v>
      </c>
      <c r="E185" s="15">
        <f t="shared" si="18"/>
        <v>0.30335333333333331</v>
      </c>
      <c r="G185">
        <v>25</v>
      </c>
      <c r="H185" s="13">
        <v>0.78012000000000004</v>
      </c>
      <c r="I185" s="13">
        <v>0.69767999999999997</v>
      </c>
      <c r="J185" s="13">
        <v>0.85133000000000003</v>
      </c>
      <c r="K185" s="15">
        <f t="shared" si="19"/>
        <v>0.77637666666666671</v>
      </c>
    </row>
    <row r="186" spans="1:11" x14ac:dyDescent="0.3">
      <c r="A186">
        <v>30</v>
      </c>
      <c r="B186" s="13">
        <v>0.23554</v>
      </c>
      <c r="C186" s="13">
        <v>0.35280899999999998</v>
      </c>
      <c r="D186" s="13">
        <v>0.53959999999999997</v>
      </c>
      <c r="E186" s="15">
        <f t="shared" si="18"/>
        <v>0.37598300000000001</v>
      </c>
      <c r="G186">
        <v>30</v>
      </c>
      <c r="H186" s="13">
        <v>0.64229999999999998</v>
      </c>
      <c r="I186" s="13">
        <v>0.83692999999999995</v>
      </c>
      <c r="J186" s="13">
        <v>0.72919999999999996</v>
      </c>
      <c r="K186" s="15">
        <f t="shared" si="19"/>
        <v>0.73614333333333326</v>
      </c>
    </row>
    <row r="187" spans="1:11" x14ac:dyDescent="0.3">
      <c r="A187">
        <v>50</v>
      </c>
      <c r="B187" s="13">
        <v>0.91010000000000002</v>
      </c>
      <c r="C187" s="13">
        <v>0.39204</v>
      </c>
      <c r="D187" s="13">
        <v>0.60309999999999997</v>
      </c>
      <c r="E187" s="15">
        <f t="shared" si="18"/>
        <v>0.63507999999999998</v>
      </c>
      <c r="G187">
        <v>50</v>
      </c>
      <c r="H187" s="13">
        <v>0.67122999999999999</v>
      </c>
      <c r="I187" s="13">
        <v>0.56079999999999997</v>
      </c>
      <c r="J187" s="13">
        <v>0.76793</v>
      </c>
      <c r="K187" s="15">
        <f t="shared" si="19"/>
        <v>0.66665333333333332</v>
      </c>
    </row>
    <row r="188" spans="1:11" x14ac:dyDescent="0.3">
      <c r="A188">
        <v>70</v>
      </c>
      <c r="B188" s="13">
        <v>0.49619999999999997</v>
      </c>
      <c r="C188" s="13">
        <v>0.74124999999999996</v>
      </c>
      <c r="D188" s="13">
        <v>0.52727000000000002</v>
      </c>
      <c r="E188" s="15">
        <f t="shared" si="18"/>
        <v>0.58823999999999999</v>
      </c>
      <c r="G188">
        <v>70</v>
      </c>
      <c r="H188" s="13">
        <v>0.98882000000000003</v>
      </c>
      <c r="I188" s="13">
        <v>0.64810000000000001</v>
      </c>
      <c r="J188" s="13">
        <v>0.84843999999999997</v>
      </c>
      <c r="K188" s="15">
        <f t="shared" si="19"/>
        <v>0.82845333333333337</v>
      </c>
    </row>
    <row r="189" spans="1:11" x14ac:dyDescent="0.3">
      <c r="E189" s="14"/>
      <c r="K189" s="14"/>
    </row>
    <row r="190" spans="1:11" ht="15.6" x14ac:dyDescent="0.35">
      <c r="A190" s="16" t="s">
        <v>80</v>
      </c>
      <c r="B190">
        <v>56.745199999999997</v>
      </c>
      <c r="C190" t="s">
        <v>129</v>
      </c>
      <c r="D190" t="s">
        <v>141</v>
      </c>
      <c r="E190" s="14"/>
      <c r="G190" s="16" t="s">
        <v>80</v>
      </c>
      <c r="H190">
        <v>32.438699999999997</v>
      </c>
      <c r="I190" t="s">
        <v>130</v>
      </c>
      <c r="J190" t="s">
        <v>141</v>
      </c>
      <c r="K190" s="14"/>
    </row>
    <row r="191" spans="1:11" ht="16.8" x14ac:dyDescent="0.35">
      <c r="A191" s="16" t="s">
        <v>84</v>
      </c>
      <c r="B191">
        <v>1.1494</v>
      </c>
      <c r="C191" t="s">
        <v>131</v>
      </c>
      <c r="D191" t="s">
        <v>144</v>
      </c>
      <c r="E191" s="14"/>
      <c r="F191" t="s">
        <v>82</v>
      </c>
      <c r="G191" s="16" t="s">
        <v>84</v>
      </c>
      <c r="H191">
        <v>1.2398400000000001</v>
      </c>
      <c r="I191" t="s">
        <v>132</v>
      </c>
      <c r="J191" t="s">
        <v>144</v>
      </c>
      <c r="K191" s="14"/>
    </row>
    <row r="192" spans="1:11" ht="16.8" x14ac:dyDescent="0.35">
      <c r="A192" s="17" t="s">
        <v>87</v>
      </c>
      <c r="B192" s="24">
        <f>B191/B190</f>
        <v>2.0255457730345476E-2</v>
      </c>
      <c r="D192" t="s">
        <v>325</v>
      </c>
      <c r="E192" s="14"/>
      <c r="G192" s="17" t="s">
        <v>87</v>
      </c>
      <c r="H192">
        <f>H191/H190</f>
        <v>3.8221013789085267E-2</v>
      </c>
      <c r="J192" t="s">
        <v>325</v>
      </c>
      <c r="K192" s="14"/>
    </row>
    <row r="193" spans="1:11" x14ac:dyDescent="0.3">
      <c r="E193" s="14"/>
      <c r="K193" s="14"/>
    </row>
    <row r="194" spans="1:11" x14ac:dyDescent="0.3">
      <c r="E194" s="14"/>
      <c r="K194" s="14"/>
    </row>
    <row r="195" spans="1:11" x14ac:dyDescent="0.3">
      <c r="A195" s="1" t="s">
        <v>133</v>
      </c>
      <c r="E195" s="14"/>
      <c r="K195" s="14"/>
    </row>
    <row r="196" spans="1:11" ht="16.8" x14ac:dyDescent="0.35">
      <c r="A196" s="1"/>
      <c r="B196" s="209" t="s">
        <v>348</v>
      </c>
      <c r="C196" s="209"/>
      <c r="D196" s="209"/>
      <c r="E196" s="207" t="s">
        <v>4</v>
      </c>
      <c r="H196" s="209" t="s">
        <v>348</v>
      </c>
      <c r="I196" s="209"/>
      <c r="J196" s="209"/>
      <c r="K196" s="207" t="s">
        <v>4</v>
      </c>
    </row>
    <row r="197" spans="1:11" x14ac:dyDescent="0.3">
      <c r="A197" t="s">
        <v>78</v>
      </c>
      <c r="B197" t="s">
        <v>7</v>
      </c>
      <c r="C197" t="s">
        <v>8</v>
      </c>
      <c r="D197" t="s">
        <v>9</v>
      </c>
      <c r="E197" s="207"/>
      <c r="G197" t="s">
        <v>79</v>
      </c>
      <c r="H197" t="s">
        <v>7</v>
      </c>
      <c r="I197" t="s">
        <v>8</v>
      </c>
      <c r="J197" t="s">
        <v>9</v>
      </c>
      <c r="K197" s="207"/>
    </row>
    <row r="198" spans="1:11" x14ac:dyDescent="0.3">
      <c r="A198">
        <v>1</v>
      </c>
      <c r="B198">
        <v>0</v>
      </c>
      <c r="C198">
        <v>0</v>
      </c>
      <c r="D198">
        <v>0</v>
      </c>
      <c r="E198" s="14">
        <f>(B198+C198+D198)/3</f>
        <v>0</v>
      </c>
      <c r="G198">
        <v>1</v>
      </c>
      <c r="H198" s="13">
        <v>0.13214999999999999</v>
      </c>
      <c r="I198" s="13">
        <v>8.8120000000000004E-2</v>
      </c>
      <c r="J198" s="13">
        <v>0.11821</v>
      </c>
      <c r="K198" s="15">
        <f>(H198+I198+J198)/3</f>
        <v>0.11282666666666667</v>
      </c>
    </row>
    <row r="199" spans="1:11" x14ac:dyDescent="0.3">
      <c r="A199">
        <v>2</v>
      </c>
      <c r="B199">
        <v>0</v>
      </c>
      <c r="C199">
        <v>0</v>
      </c>
      <c r="D199">
        <v>0</v>
      </c>
      <c r="E199" s="14">
        <f t="shared" ref="E199:E207" si="20">(B199+C199+D199)/3</f>
        <v>0</v>
      </c>
      <c r="G199">
        <v>2</v>
      </c>
      <c r="H199" s="13">
        <v>0.16256000000000001</v>
      </c>
      <c r="I199" s="13">
        <v>9.5219999999999999E-2</v>
      </c>
      <c r="J199" s="13">
        <v>0.1933</v>
      </c>
      <c r="K199" s="15">
        <f t="shared" ref="K199:K207" si="21">(H199+I199+J199)/3</f>
        <v>0.15036000000000002</v>
      </c>
    </row>
    <row r="200" spans="1:11" x14ac:dyDescent="0.3">
      <c r="A200">
        <v>4</v>
      </c>
      <c r="B200" s="13">
        <v>1.0338999999999999E-2</v>
      </c>
      <c r="C200" s="13">
        <v>3.1019999999999999E-2</v>
      </c>
      <c r="D200" s="13">
        <v>2.8701000000000001E-2</v>
      </c>
      <c r="E200" s="15">
        <f>(B200+C200+D200)/3</f>
        <v>2.3353333333333334E-2</v>
      </c>
      <c r="G200">
        <v>4</v>
      </c>
      <c r="H200" s="13">
        <v>0.28560999999999998</v>
      </c>
      <c r="I200" s="13">
        <v>0.18540000000000001</v>
      </c>
      <c r="J200" s="13">
        <v>0.21690000000000001</v>
      </c>
      <c r="K200" s="15">
        <f t="shared" si="21"/>
        <v>0.22930333333333333</v>
      </c>
    </row>
    <row r="201" spans="1:11" x14ac:dyDescent="0.3">
      <c r="A201">
        <v>8</v>
      </c>
      <c r="B201" s="13">
        <v>7.2919999999999999E-2</v>
      </c>
      <c r="C201" s="13">
        <v>2.3859999999999999E-2</v>
      </c>
      <c r="D201" s="13">
        <v>9.7670000000000007E-2</v>
      </c>
      <c r="E201" s="15">
        <f t="shared" si="20"/>
        <v>6.4816666666666675E-2</v>
      </c>
      <c r="G201">
        <v>8</v>
      </c>
      <c r="H201" s="13">
        <v>0.3921</v>
      </c>
      <c r="I201" s="13">
        <v>0.58352000000000004</v>
      </c>
      <c r="J201" s="13">
        <v>0.4461</v>
      </c>
      <c r="K201" s="15">
        <f t="shared" si="21"/>
        <v>0.4739066666666667</v>
      </c>
    </row>
    <row r="202" spans="1:11" x14ac:dyDescent="0.3">
      <c r="A202">
        <v>15</v>
      </c>
      <c r="B202" s="13">
        <v>8.5419999999999996E-2</v>
      </c>
      <c r="C202" s="13">
        <v>0.1159</v>
      </c>
      <c r="D202" s="13">
        <v>6.4920000000000005E-2</v>
      </c>
      <c r="E202" s="15">
        <f t="shared" si="20"/>
        <v>8.8746666666666682E-2</v>
      </c>
      <c r="G202">
        <v>15</v>
      </c>
      <c r="H202" s="13">
        <v>0.86519999999999997</v>
      </c>
      <c r="I202" s="13">
        <v>0.51241000000000003</v>
      </c>
      <c r="J202" s="13">
        <v>0.45816000000000001</v>
      </c>
      <c r="K202" s="15">
        <f t="shared" si="21"/>
        <v>0.61192333333333337</v>
      </c>
    </row>
    <row r="203" spans="1:11" x14ac:dyDescent="0.3">
      <c r="A203">
        <v>20</v>
      </c>
      <c r="B203" s="13">
        <v>0.14504</v>
      </c>
      <c r="C203" s="13">
        <v>7.4660000000000004E-2</v>
      </c>
      <c r="D203" s="13">
        <v>6.1809999999999997E-2</v>
      </c>
      <c r="E203" s="15">
        <f t="shared" si="20"/>
        <v>9.3836666666666665E-2</v>
      </c>
      <c r="G203">
        <v>20</v>
      </c>
      <c r="H203" s="13">
        <v>0.98826000000000003</v>
      </c>
      <c r="I203" s="13">
        <v>0.74011000000000005</v>
      </c>
      <c r="J203" s="13">
        <v>0.59984999999999999</v>
      </c>
      <c r="K203" s="15">
        <f t="shared" si="21"/>
        <v>0.77607333333333328</v>
      </c>
    </row>
    <row r="204" spans="1:11" x14ac:dyDescent="0.3">
      <c r="A204">
        <v>25</v>
      </c>
      <c r="B204" s="13">
        <v>0.13333</v>
      </c>
      <c r="C204" s="13">
        <v>9.8377000000000006E-2</v>
      </c>
      <c r="D204" s="13">
        <v>9.8409999999999997E-2</v>
      </c>
      <c r="E204" s="15">
        <f t="shared" si="20"/>
        <v>0.110039</v>
      </c>
      <c r="G204">
        <v>25</v>
      </c>
      <c r="H204" s="13">
        <v>1.1234999999999999</v>
      </c>
      <c r="I204" s="13">
        <v>0.53159999999999996</v>
      </c>
      <c r="J204" s="13">
        <v>0.98540000000000005</v>
      </c>
      <c r="K204" s="15">
        <f t="shared" si="21"/>
        <v>0.88016666666666676</v>
      </c>
    </row>
    <row r="205" spans="1:11" x14ac:dyDescent="0.3">
      <c r="A205">
        <v>30</v>
      </c>
      <c r="B205" s="13">
        <v>8.523E-2</v>
      </c>
      <c r="C205" s="13">
        <v>0.163414</v>
      </c>
      <c r="D205" s="13">
        <v>5.1229999999999998E-2</v>
      </c>
      <c r="E205" s="15">
        <f t="shared" si="20"/>
        <v>9.9957999999999991E-2</v>
      </c>
      <c r="G205">
        <v>30</v>
      </c>
      <c r="H205" s="13">
        <v>1.7556700000000001</v>
      </c>
      <c r="I205" s="13">
        <v>9.9229999999999999E-2</v>
      </c>
      <c r="J205" s="13">
        <v>1.4036</v>
      </c>
      <c r="K205" s="15">
        <f t="shared" si="21"/>
        <v>1.0861666666666665</v>
      </c>
    </row>
    <row r="206" spans="1:11" x14ac:dyDescent="0.3">
      <c r="A206">
        <v>50</v>
      </c>
      <c r="B206" s="13">
        <v>0.11162999999999999</v>
      </c>
      <c r="C206" s="13">
        <v>0.20146</v>
      </c>
      <c r="D206" s="13">
        <v>0.11251</v>
      </c>
      <c r="E206" s="15">
        <f t="shared" si="20"/>
        <v>0.14186666666666667</v>
      </c>
      <c r="G206">
        <v>50</v>
      </c>
      <c r="H206" s="13">
        <v>1.1226</v>
      </c>
      <c r="I206" s="13">
        <v>1.84456</v>
      </c>
      <c r="J206" s="13">
        <v>0.85140000000000005</v>
      </c>
      <c r="K206" s="15">
        <f t="shared" si="21"/>
        <v>1.2728533333333332</v>
      </c>
    </row>
    <row r="207" spans="1:11" x14ac:dyDescent="0.3">
      <c r="A207">
        <v>70</v>
      </c>
      <c r="B207" s="13">
        <v>0.1575</v>
      </c>
      <c r="C207" s="13">
        <v>0.20669000000000001</v>
      </c>
      <c r="D207" s="13">
        <v>0.11237999999999999</v>
      </c>
      <c r="E207" s="15">
        <f t="shared" si="20"/>
        <v>0.15885666666666667</v>
      </c>
      <c r="G207">
        <v>70</v>
      </c>
      <c r="H207" s="13">
        <v>0.92878000000000005</v>
      </c>
      <c r="I207" s="13">
        <v>1.02345</v>
      </c>
      <c r="J207" s="13">
        <v>2.0341</v>
      </c>
      <c r="K207" s="15">
        <f t="shared" si="21"/>
        <v>1.3287766666666667</v>
      </c>
    </row>
    <row r="208" spans="1:11" x14ac:dyDescent="0.3">
      <c r="E208" s="14"/>
      <c r="K208" s="14"/>
    </row>
    <row r="209" spans="1:15" ht="15.6" x14ac:dyDescent="0.35">
      <c r="A209" s="16" t="s">
        <v>80</v>
      </c>
      <c r="B209">
        <v>24.4297</v>
      </c>
      <c r="C209" t="s">
        <v>134</v>
      </c>
      <c r="D209" t="s">
        <v>141</v>
      </c>
      <c r="E209" s="14"/>
      <c r="G209" s="16" t="s">
        <v>80</v>
      </c>
      <c r="H209">
        <v>27.062799999999999</v>
      </c>
      <c r="I209" t="s">
        <v>135</v>
      </c>
      <c r="J209" t="s">
        <v>141</v>
      </c>
      <c r="K209" s="14"/>
    </row>
    <row r="210" spans="1:15" ht="16.8" x14ac:dyDescent="0.35">
      <c r="A210" s="16" t="s">
        <v>84</v>
      </c>
      <c r="B210" s="13">
        <v>0.21</v>
      </c>
      <c r="C210" t="s">
        <v>136</v>
      </c>
      <c r="D210" t="s">
        <v>144</v>
      </c>
      <c r="E210" s="14"/>
      <c r="G210" s="16" t="s">
        <v>84</v>
      </c>
      <c r="H210">
        <v>1.8998999999999999</v>
      </c>
      <c r="I210" t="s">
        <v>137</v>
      </c>
      <c r="J210" t="s">
        <v>144</v>
      </c>
      <c r="K210" s="14"/>
    </row>
    <row r="211" spans="1:15" ht="16.8" x14ac:dyDescent="0.35">
      <c r="A211" s="17" t="s">
        <v>87</v>
      </c>
      <c r="B211">
        <f>B210/B209</f>
        <v>8.5960940985767322E-3</v>
      </c>
      <c r="D211" t="s">
        <v>325</v>
      </c>
      <c r="E211" s="14"/>
      <c r="G211" s="17" t="s">
        <v>87</v>
      </c>
      <c r="H211">
        <f>H210/H209</f>
        <v>7.0203378807809982E-2</v>
      </c>
      <c r="J211" t="s">
        <v>326</v>
      </c>
      <c r="K211" s="14"/>
    </row>
    <row r="212" spans="1:15" x14ac:dyDescent="0.3">
      <c r="E212" s="14"/>
      <c r="K212" s="14"/>
    </row>
    <row r="213" spans="1:15" x14ac:dyDescent="0.3">
      <c r="E213" s="14"/>
      <c r="K213" s="14"/>
    </row>
    <row r="214" spans="1:15" x14ac:dyDescent="0.3">
      <c r="A214" s="1" t="s">
        <v>311</v>
      </c>
      <c r="E214" s="14"/>
      <c r="K214" s="14"/>
    </row>
    <row r="215" spans="1:15" ht="16.8" x14ac:dyDescent="0.35">
      <c r="A215" s="1"/>
      <c r="B215" s="209" t="s">
        <v>348</v>
      </c>
      <c r="C215" s="209"/>
      <c r="D215" s="209"/>
      <c r="E215" s="207" t="s">
        <v>4</v>
      </c>
      <c r="H215" s="209" t="s">
        <v>348</v>
      </c>
      <c r="I215" s="209"/>
      <c r="J215" s="209"/>
      <c r="K215" s="207" t="s">
        <v>4</v>
      </c>
    </row>
    <row r="216" spans="1:15" x14ac:dyDescent="0.3">
      <c r="A216" t="s">
        <v>78</v>
      </c>
      <c r="B216" t="s">
        <v>7</v>
      </c>
      <c r="C216" t="s">
        <v>8</v>
      </c>
      <c r="D216" t="s">
        <v>9</v>
      </c>
      <c r="E216" s="207"/>
      <c r="G216" t="s">
        <v>79</v>
      </c>
      <c r="H216" t="s">
        <v>7</v>
      </c>
      <c r="I216" t="s">
        <v>8</v>
      </c>
      <c r="J216" t="s">
        <v>9</v>
      </c>
      <c r="K216" s="207"/>
    </row>
    <row r="217" spans="1:15" x14ac:dyDescent="0.3">
      <c r="A217">
        <v>1</v>
      </c>
      <c r="B217" s="13">
        <v>0.11235000000000001</v>
      </c>
      <c r="C217" s="13">
        <v>0.24135000000000001</v>
      </c>
      <c r="D217" s="13">
        <v>0.17923</v>
      </c>
      <c r="E217" s="15">
        <f>(B217+C217+D217)/3</f>
        <v>0.17764333333333335</v>
      </c>
      <c r="G217">
        <v>1</v>
      </c>
      <c r="H217" s="13">
        <v>2.4253E-2</v>
      </c>
      <c r="I217" s="13">
        <v>4.5111999999999999E-2</v>
      </c>
      <c r="J217" s="13">
        <v>1.132E-3</v>
      </c>
      <c r="K217" s="15">
        <f>(H217+I217+J217)/3</f>
        <v>2.3498999999999996E-2</v>
      </c>
      <c r="L217">
        <v>2.3711610342036938E-2</v>
      </c>
      <c r="O217" s="15"/>
    </row>
    <row r="218" spans="1:15" x14ac:dyDescent="0.3">
      <c r="A218">
        <v>2</v>
      </c>
      <c r="B218" s="13">
        <v>0.69523000000000001</v>
      </c>
      <c r="C218" s="13">
        <v>0.36124000000000001</v>
      </c>
      <c r="D218" s="13">
        <v>0.48155999999999999</v>
      </c>
      <c r="E218" s="15">
        <f>(B218+C218+D218)/3</f>
        <v>0.51267666666666667</v>
      </c>
      <c r="G218">
        <v>2</v>
      </c>
      <c r="H218" s="13">
        <v>5.45256E-2</v>
      </c>
      <c r="I218" s="13">
        <v>8.8211999999999999E-2</v>
      </c>
      <c r="J218" s="13">
        <v>1.6129999999999999E-2</v>
      </c>
      <c r="K218" s="15">
        <f t="shared" ref="K218:K226" si="22">(H218+I218+J218)/3</f>
        <v>5.2955866666666664E-2</v>
      </c>
      <c r="L218">
        <v>5.3025830249472966E-2</v>
      </c>
      <c r="O218" s="15"/>
    </row>
    <row r="219" spans="1:15" x14ac:dyDescent="0.3">
      <c r="A219">
        <v>4</v>
      </c>
      <c r="B219" s="13">
        <v>1.02346</v>
      </c>
      <c r="C219" s="13">
        <v>0.90354000000000001</v>
      </c>
      <c r="D219" s="13">
        <v>0.57412300000000005</v>
      </c>
      <c r="E219" s="15">
        <f>(B219+C219+D219)/3</f>
        <v>0.83370766666666674</v>
      </c>
      <c r="G219">
        <v>4</v>
      </c>
      <c r="H219" s="13">
        <v>0.208261</v>
      </c>
      <c r="I219" s="13">
        <v>0.14185400000000001</v>
      </c>
      <c r="J219" s="13">
        <v>7.0289000000000004E-2</v>
      </c>
      <c r="K219" s="15">
        <f t="shared" si="22"/>
        <v>0.14013466666666666</v>
      </c>
      <c r="L219">
        <v>0.14139806077495981</v>
      </c>
      <c r="O219" s="15"/>
    </row>
    <row r="220" spans="1:15" x14ac:dyDescent="0.3">
      <c r="A220">
        <v>8</v>
      </c>
      <c r="B220" s="13">
        <v>1.62364</v>
      </c>
      <c r="C220" s="13">
        <v>1.0235460000000001</v>
      </c>
      <c r="D220" s="13">
        <v>1.20014</v>
      </c>
      <c r="E220" s="15">
        <f t="shared" ref="E220:E226" si="23">(B220+C220+D220)/3</f>
        <v>1.2824419999999999</v>
      </c>
      <c r="G220">
        <v>8</v>
      </c>
      <c r="H220" s="13">
        <v>0.30209999999999998</v>
      </c>
      <c r="I220" s="13">
        <v>0.48352000000000001</v>
      </c>
      <c r="J220" s="13">
        <v>0.14610000000000001</v>
      </c>
      <c r="K220" s="15">
        <f t="shared" si="22"/>
        <v>0.31057333333333331</v>
      </c>
      <c r="L220">
        <v>0.31565401437471707</v>
      </c>
      <c r="O220" s="15"/>
    </row>
    <row r="221" spans="1:15" x14ac:dyDescent="0.3">
      <c r="A221">
        <v>15</v>
      </c>
      <c r="B221" s="13">
        <v>1.68523</v>
      </c>
      <c r="C221" s="13">
        <v>2.03145</v>
      </c>
      <c r="D221" s="13">
        <v>1.5238400000000001</v>
      </c>
      <c r="E221" s="15">
        <f t="shared" si="23"/>
        <v>1.7468399999999999</v>
      </c>
      <c r="G221">
        <v>15</v>
      </c>
      <c r="H221" s="13">
        <v>0.86519999999999997</v>
      </c>
      <c r="I221" s="13">
        <v>0.50241000000000002</v>
      </c>
      <c r="J221" s="13">
        <v>0.35815999999999998</v>
      </c>
      <c r="K221" s="15">
        <f t="shared" si="22"/>
        <v>0.57525666666666664</v>
      </c>
      <c r="L221">
        <v>0.57632895017325181</v>
      </c>
      <c r="O221" s="15"/>
    </row>
    <row r="222" spans="1:15" x14ac:dyDescent="0.3">
      <c r="A222">
        <v>20</v>
      </c>
      <c r="B222" s="13">
        <v>1.5268900000000001</v>
      </c>
      <c r="C222" s="13">
        <v>2.2315399999999999</v>
      </c>
      <c r="D222" s="13">
        <v>1.7920100000000001</v>
      </c>
      <c r="E222" s="15">
        <f t="shared" si="23"/>
        <v>1.8501466666666666</v>
      </c>
      <c r="G222">
        <v>20</v>
      </c>
      <c r="H222" s="13">
        <v>0.80825999999999998</v>
      </c>
      <c r="I222" s="13">
        <v>0.59711000000000003</v>
      </c>
      <c r="J222" s="13">
        <v>0.99904999999999999</v>
      </c>
      <c r="K222" s="15">
        <f t="shared" si="22"/>
        <v>0.80147333333333337</v>
      </c>
      <c r="L222">
        <v>0.80145119649359087</v>
      </c>
      <c r="O222" s="15"/>
    </row>
    <row r="223" spans="1:15" x14ac:dyDescent="0.3">
      <c r="A223">
        <v>25</v>
      </c>
      <c r="B223" s="13">
        <v>2.4659800000000001</v>
      </c>
      <c r="C223" s="13">
        <v>1.87452</v>
      </c>
      <c r="D223" s="13">
        <v>2.32145</v>
      </c>
      <c r="E223" s="15">
        <f t="shared" si="23"/>
        <v>2.2206500000000005</v>
      </c>
      <c r="G223">
        <v>25</v>
      </c>
      <c r="H223" s="13">
        <v>0.99241500000000005</v>
      </c>
      <c r="I223" s="13">
        <v>0.62548000000000004</v>
      </c>
      <c r="J223" s="13">
        <v>1.24108</v>
      </c>
      <c r="K223" s="15">
        <f t="shared" si="22"/>
        <v>0.95299166666666668</v>
      </c>
      <c r="L223">
        <v>0.95326</v>
      </c>
      <c r="O223" s="15"/>
    </row>
    <row r="224" spans="1:15" x14ac:dyDescent="0.3">
      <c r="A224">
        <v>30</v>
      </c>
      <c r="B224" s="13">
        <v>1.7458899999999999</v>
      </c>
      <c r="C224" s="13">
        <v>2.78512</v>
      </c>
      <c r="D224" s="13">
        <v>2.2132399999999999</v>
      </c>
      <c r="E224" s="15">
        <f t="shared" si="23"/>
        <v>2.2480833333333332</v>
      </c>
      <c r="G224">
        <v>30</v>
      </c>
      <c r="H224" s="13">
        <v>1.96167</v>
      </c>
      <c r="I224" s="13">
        <v>8.9523000000000005E-2</v>
      </c>
      <c r="J224" s="13">
        <v>1.0493600000000001</v>
      </c>
      <c r="K224" s="15">
        <f t="shared" si="22"/>
        <v>1.0335176666666668</v>
      </c>
      <c r="L224">
        <v>1.0343609631300281</v>
      </c>
      <c r="O224" s="15"/>
    </row>
    <row r="225" spans="1:15" x14ac:dyDescent="0.3">
      <c r="A225">
        <v>50</v>
      </c>
      <c r="B225" s="13">
        <v>2.4579599999999999</v>
      </c>
      <c r="C225" s="13">
        <v>3.6546799999999999</v>
      </c>
      <c r="D225" s="13">
        <v>2.98956</v>
      </c>
      <c r="E225" s="15">
        <f t="shared" si="23"/>
        <v>3.0340666666666665</v>
      </c>
      <c r="G225">
        <v>50</v>
      </c>
      <c r="H225" s="13">
        <v>1.9563200000000001</v>
      </c>
      <c r="I225" s="13">
        <v>1.6012500000000001</v>
      </c>
      <c r="J225" s="13">
        <v>0.94523000000000001</v>
      </c>
      <c r="K225" s="15">
        <f t="shared" si="22"/>
        <v>1.5009333333333335</v>
      </c>
      <c r="L225">
        <v>1.5044805288829357</v>
      </c>
      <c r="O225" s="15"/>
    </row>
    <row r="226" spans="1:15" x14ac:dyDescent="0.3">
      <c r="A226">
        <v>70</v>
      </c>
      <c r="B226" s="13">
        <v>3.46698</v>
      </c>
      <c r="C226" s="13">
        <v>2.86354</v>
      </c>
      <c r="D226" s="13">
        <v>3.0012300000000001</v>
      </c>
      <c r="E226" s="15">
        <f t="shared" si="23"/>
        <v>3.110583333333333</v>
      </c>
      <c r="G226">
        <v>70</v>
      </c>
      <c r="H226" s="13">
        <v>2.1305399999999999</v>
      </c>
      <c r="I226" s="13">
        <v>1.2548699999999999</v>
      </c>
      <c r="J226" s="13">
        <v>2.3601399999999999</v>
      </c>
      <c r="K226" s="15">
        <f t="shared" si="22"/>
        <v>1.9151833333333332</v>
      </c>
      <c r="L226">
        <v>1.8881427876179238</v>
      </c>
      <c r="O226" s="15"/>
    </row>
    <row r="227" spans="1:15" x14ac:dyDescent="0.3">
      <c r="E227" s="14"/>
      <c r="K227" s="14"/>
    </row>
    <row r="228" spans="1:15" ht="15.6" x14ac:dyDescent="0.35">
      <c r="A228" s="16" t="s">
        <v>80</v>
      </c>
      <c r="B228">
        <v>18.585100000000001</v>
      </c>
      <c r="C228" t="s">
        <v>312</v>
      </c>
      <c r="D228" t="s">
        <v>141</v>
      </c>
      <c r="E228" s="14"/>
      <c r="G228" s="16" t="s">
        <v>80</v>
      </c>
      <c r="H228">
        <v>107.49299999999999</v>
      </c>
      <c r="I228" t="s">
        <v>314</v>
      </c>
      <c r="J228" t="s">
        <v>141</v>
      </c>
      <c r="K228" s="14"/>
    </row>
    <row r="229" spans="1:15" ht="16.8" x14ac:dyDescent="0.35">
      <c r="A229" s="16" t="s">
        <v>84</v>
      </c>
      <c r="B229" s="13">
        <v>3.9150299999999998</v>
      </c>
      <c r="C229" t="s">
        <v>313</v>
      </c>
      <c r="D229" t="s">
        <v>144</v>
      </c>
      <c r="E229" s="14"/>
      <c r="G229" s="16" t="s">
        <v>84</v>
      </c>
      <c r="H229">
        <v>4.82578</v>
      </c>
      <c r="I229" t="s">
        <v>315</v>
      </c>
      <c r="J229" t="s">
        <v>144</v>
      </c>
      <c r="K229" s="14"/>
    </row>
    <row r="230" spans="1:15" ht="16.8" x14ac:dyDescent="0.35">
      <c r="A230" s="17" t="s">
        <v>87</v>
      </c>
      <c r="B230">
        <f>B229/B228</f>
        <v>0.21065423376791084</v>
      </c>
      <c r="D230" t="s">
        <v>326</v>
      </c>
      <c r="E230" s="14"/>
      <c r="G230" s="17" t="s">
        <v>87</v>
      </c>
      <c r="H230">
        <f>H229/H228</f>
        <v>4.4893900067911399E-2</v>
      </c>
      <c r="J230" t="s">
        <v>326</v>
      </c>
      <c r="K230" s="14"/>
    </row>
  </sheetData>
  <mergeCells count="48">
    <mergeCell ref="B2:D2"/>
    <mergeCell ref="E2:E3"/>
    <mergeCell ref="H2:J2"/>
    <mergeCell ref="K2:K3"/>
    <mergeCell ref="B21:D21"/>
    <mergeCell ref="E21:E22"/>
    <mergeCell ref="H21:J21"/>
    <mergeCell ref="K21:K22"/>
    <mergeCell ref="B40:D40"/>
    <mergeCell ref="E40:E41"/>
    <mergeCell ref="H40:J40"/>
    <mergeCell ref="K40:K41"/>
    <mergeCell ref="B59:D59"/>
    <mergeCell ref="E59:E60"/>
    <mergeCell ref="H59:J59"/>
    <mergeCell ref="K59:K60"/>
    <mergeCell ref="B80:D80"/>
    <mergeCell ref="E80:E81"/>
    <mergeCell ref="H80:J80"/>
    <mergeCell ref="K80:K81"/>
    <mergeCell ref="B101:D101"/>
    <mergeCell ref="E101:E102"/>
    <mergeCell ref="H101:J101"/>
    <mergeCell ref="K101:K102"/>
    <mergeCell ref="B120:D120"/>
    <mergeCell ref="E120:E121"/>
    <mergeCell ref="H120:J120"/>
    <mergeCell ref="K120:K121"/>
    <mergeCell ref="B139:D139"/>
    <mergeCell ref="E139:E140"/>
    <mergeCell ref="H139:J139"/>
    <mergeCell ref="K139:K140"/>
    <mergeCell ref="B158:D158"/>
    <mergeCell ref="E158:E159"/>
    <mergeCell ref="H158:J158"/>
    <mergeCell ref="K158:K159"/>
    <mergeCell ref="B177:D177"/>
    <mergeCell ref="E177:E178"/>
    <mergeCell ref="H177:J177"/>
    <mergeCell ref="K177:K178"/>
    <mergeCell ref="B215:D215"/>
    <mergeCell ref="E215:E216"/>
    <mergeCell ref="H215:J215"/>
    <mergeCell ref="K215:K216"/>
    <mergeCell ref="B196:D196"/>
    <mergeCell ref="E196:E197"/>
    <mergeCell ref="H196:J196"/>
    <mergeCell ref="K196:K19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RowHeight="14.4" x14ac:dyDescent="0.3"/>
  <cols>
    <col min="2" max="2" width="10.33203125" bestFit="1" customWidth="1"/>
    <col min="3" max="5" width="10.44140625" bestFit="1" customWidth="1"/>
    <col min="8" max="10" width="10.44140625" bestFit="1" customWidth="1"/>
  </cols>
  <sheetData>
    <row r="1" spans="1:12" x14ac:dyDescent="0.3">
      <c r="A1" s="1" t="s">
        <v>363</v>
      </c>
    </row>
    <row r="2" spans="1:12" x14ac:dyDescent="0.3">
      <c r="B2" s="1"/>
      <c r="C2" s="208" t="s">
        <v>12</v>
      </c>
      <c r="D2" s="208"/>
      <c r="E2" s="208"/>
      <c r="F2" s="208"/>
      <c r="G2" s="208"/>
      <c r="H2" s="208" t="s">
        <v>13</v>
      </c>
      <c r="I2" s="208"/>
      <c r="J2" s="208"/>
      <c r="K2" s="208"/>
      <c r="L2" s="208"/>
    </row>
    <row r="3" spans="1:12" x14ac:dyDescent="0.3">
      <c r="A3" s="1"/>
      <c r="B3" s="1"/>
      <c r="C3" s="209" t="s">
        <v>3</v>
      </c>
      <c r="D3" s="209"/>
      <c r="E3" s="209"/>
      <c r="F3" s="207" t="s">
        <v>4</v>
      </c>
      <c r="G3" s="207" t="s">
        <v>5</v>
      </c>
      <c r="H3" s="209" t="s">
        <v>3</v>
      </c>
      <c r="I3" s="209"/>
      <c r="J3" s="209"/>
      <c r="K3" s="207" t="s">
        <v>4</v>
      </c>
      <c r="L3" s="207" t="s">
        <v>5</v>
      </c>
    </row>
    <row r="4" spans="1:12" x14ac:dyDescent="0.3">
      <c r="C4" s="165" t="s">
        <v>7</v>
      </c>
      <c r="D4" s="165" t="s">
        <v>8</v>
      </c>
      <c r="E4" s="165" t="s">
        <v>9</v>
      </c>
      <c r="F4" s="207"/>
      <c r="G4" s="207"/>
      <c r="H4" s="165" t="s">
        <v>7</v>
      </c>
      <c r="I4" s="165" t="s">
        <v>8</v>
      </c>
      <c r="J4" s="165" t="s">
        <v>9</v>
      </c>
      <c r="K4" s="207"/>
      <c r="L4" s="207"/>
    </row>
    <row r="5" spans="1:12" x14ac:dyDescent="0.3">
      <c r="B5" t="s">
        <v>18</v>
      </c>
      <c r="C5" s="9">
        <v>0.74</v>
      </c>
      <c r="D5" s="9">
        <v>0.68</v>
      </c>
      <c r="E5" s="9">
        <v>0.75</v>
      </c>
      <c r="F5" s="10">
        <f t="shared" ref="F5:F6" si="0">(C5+D5+E5)/3</f>
        <v>0.72333333333333327</v>
      </c>
      <c r="G5" s="10">
        <f t="shared" ref="G5:G6" si="1">(ABS(C5-F5)+ABS(D5-F5)+ABS(E5-F5))/3</f>
        <v>2.8888888888888891E-2</v>
      </c>
      <c r="H5" s="9">
        <v>0.83660000000000001</v>
      </c>
      <c r="I5" s="9">
        <v>1.0178</v>
      </c>
      <c r="J5" s="9">
        <v>0.70819999999999994</v>
      </c>
      <c r="K5" s="10">
        <f t="shared" ref="K5:K6" si="2">(H5+I5+J5)/3</f>
        <v>0.85419999999999996</v>
      </c>
      <c r="L5" s="10">
        <f t="shared" ref="L5:L6" si="3">(ABS(H5-K5)+ABS(I5-K5)+ABS(J5-K5))/3</f>
        <v>0.10906666666666669</v>
      </c>
    </row>
    <row r="6" spans="1:12" x14ac:dyDescent="0.3">
      <c r="A6" s="1"/>
      <c r="B6" t="s">
        <v>16</v>
      </c>
      <c r="C6" s="9">
        <v>0.06</v>
      </c>
      <c r="D6" s="9">
        <v>0.14000000000000001</v>
      </c>
      <c r="E6" s="9">
        <v>0.15</v>
      </c>
      <c r="F6" s="10">
        <f t="shared" si="0"/>
        <v>0.11666666666666665</v>
      </c>
      <c r="G6" s="10">
        <f t="shared" si="1"/>
        <v>3.7777777777777785E-2</v>
      </c>
      <c r="H6" s="9">
        <v>0.59380000000000011</v>
      </c>
      <c r="I6" s="9">
        <v>0.70540000000000003</v>
      </c>
      <c r="J6" s="9">
        <v>0.67739999999999989</v>
      </c>
      <c r="K6" s="10">
        <f t="shared" si="2"/>
        <v>0.6588666666666666</v>
      </c>
      <c r="L6" s="10">
        <f t="shared" si="3"/>
        <v>4.3377777777777737E-2</v>
      </c>
    </row>
  </sheetData>
  <mergeCells count="8">
    <mergeCell ref="C2:G2"/>
    <mergeCell ref="H2:L2"/>
    <mergeCell ref="C3:E3"/>
    <mergeCell ref="F3:F4"/>
    <mergeCell ref="G3:G4"/>
    <mergeCell ref="H3:J3"/>
    <mergeCell ref="K3:K4"/>
    <mergeCell ref="L3:L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112" zoomScaleNormal="112" workbookViewId="0">
      <selection activeCell="A2" sqref="A2:A4"/>
    </sheetView>
  </sheetViews>
  <sheetFormatPr defaultRowHeight="14.4" x14ac:dyDescent="0.3"/>
  <cols>
    <col min="1" max="1" width="14.5546875" bestFit="1" customWidth="1"/>
    <col min="2" max="4" width="10.44140625" bestFit="1" customWidth="1"/>
    <col min="8" max="10" width="10.44140625" bestFit="1" customWidth="1"/>
    <col min="14" max="16" width="10.44140625" bestFit="1" customWidth="1"/>
    <col min="17" max="17" width="10" customWidth="1"/>
  </cols>
  <sheetData>
    <row r="1" spans="1:18" x14ac:dyDescent="0.3">
      <c r="A1" s="1" t="s">
        <v>364</v>
      </c>
    </row>
    <row r="2" spans="1:18" x14ac:dyDescent="0.3">
      <c r="A2" s="207" t="s">
        <v>19</v>
      </c>
      <c r="B2" s="208" t="s">
        <v>12</v>
      </c>
      <c r="C2" s="208"/>
      <c r="D2" s="208"/>
      <c r="E2" s="208"/>
      <c r="F2" s="208"/>
      <c r="G2" s="2"/>
      <c r="H2" s="208" t="s">
        <v>13</v>
      </c>
      <c r="I2" s="208"/>
      <c r="J2" s="208"/>
      <c r="K2" s="208"/>
      <c r="L2" s="208"/>
      <c r="M2" s="164"/>
      <c r="N2" s="207" t="s">
        <v>20</v>
      </c>
      <c r="O2" s="207"/>
      <c r="P2" s="207"/>
      <c r="Q2" s="207"/>
    </row>
    <row r="3" spans="1:18" x14ac:dyDescent="0.3">
      <c r="A3" s="207"/>
      <c r="B3" s="209" t="s">
        <v>3</v>
      </c>
      <c r="C3" s="210"/>
      <c r="D3" s="210"/>
      <c r="E3" s="207" t="s">
        <v>4</v>
      </c>
      <c r="F3" s="207" t="s">
        <v>5</v>
      </c>
      <c r="G3" s="2"/>
      <c r="H3" s="209" t="s">
        <v>3</v>
      </c>
      <c r="I3" s="210"/>
      <c r="J3" s="210"/>
      <c r="K3" s="207" t="s">
        <v>4</v>
      </c>
      <c r="L3" s="207" t="s">
        <v>5</v>
      </c>
      <c r="M3" s="166"/>
      <c r="N3" s="211" t="s">
        <v>3</v>
      </c>
      <c r="O3" s="212"/>
      <c r="P3" s="212"/>
      <c r="Q3" s="207" t="s">
        <v>4</v>
      </c>
      <c r="R3" s="207" t="s">
        <v>5</v>
      </c>
    </row>
    <row r="4" spans="1:18" x14ac:dyDescent="0.3">
      <c r="A4" s="207"/>
      <c r="B4" s="3" t="s">
        <v>7</v>
      </c>
      <c r="C4" s="3" t="s">
        <v>8</v>
      </c>
      <c r="D4" s="3" t="s">
        <v>9</v>
      </c>
      <c r="E4" s="207"/>
      <c r="F4" s="207"/>
      <c r="G4" s="2"/>
      <c r="H4" s="3" t="s">
        <v>7</v>
      </c>
      <c r="I4" s="3" t="s">
        <v>8</v>
      </c>
      <c r="J4" s="3" t="s">
        <v>9</v>
      </c>
      <c r="K4" s="207"/>
      <c r="L4" s="207"/>
      <c r="M4" s="166"/>
      <c r="N4" s="182" t="s">
        <v>7</v>
      </c>
      <c r="O4" s="182" t="s">
        <v>8</v>
      </c>
      <c r="P4" s="182" t="s">
        <v>9</v>
      </c>
      <c r="Q4" s="207"/>
      <c r="R4" s="207"/>
    </row>
    <row r="5" spans="1:18" x14ac:dyDescent="0.3">
      <c r="A5" t="s">
        <v>23</v>
      </c>
      <c r="B5" s="9">
        <v>25.045999999999996</v>
      </c>
      <c r="C5" s="9">
        <v>29.97</v>
      </c>
      <c r="D5" s="9">
        <v>24.44</v>
      </c>
      <c r="E5" s="10">
        <f>(B5+C5+D5)/3</f>
        <v>26.48533333333333</v>
      </c>
      <c r="F5" s="10">
        <f>(ABS(B5-E5)+ABS(C5-E5)+ABS(D5-E5))/3</f>
        <v>2.3231111111111105</v>
      </c>
      <c r="G5" s="9"/>
      <c r="H5" s="9">
        <v>32.86</v>
      </c>
      <c r="I5" s="9">
        <v>48.82</v>
      </c>
      <c r="J5" s="9">
        <v>39.060000000000009</v>
      </c>
      <c r="K5" s="10">
        <f t="shared" ref="K5:K33" si="0">(H5+I5+J5)/3</f>
        <v>40.24666666666667</v>
      </c>
      <c r="L5" s="10">
        <f>(ABS(H5-K5)+ABS(I5-K5)+ABS(J5-K5))/3</f>
        <v>5.7155555555555537</v>
      </c>
      <c r="M5" s="10"/>
      <c r="N5" s="183">
        <f>H5/B5</f>
        <v>1.3119859458596186</v>
      </c>
      <c r="O5" s="183">
        <f t="shared" ref="O5:P20" si="1">I5/C5</f>
        <v>1.6289622956289624</v>
      </c>
      <c r="P5" s="183">
        <f t="shared" si="1"/>
        <v>1.5981996726677581</v>
      </c>
      <c r="Q5" s="10">
        <f>(N5+O5+P5)/3</f>
        <v>1.5130493047187796</v>
      </c>
      <c r="R5" s="10">
        <f>(ABS(N5-Q5)+ABS(O5-Q5)+ABS(P5-Q5))/3</f>
        <v>0.13404223923944078</v>
      </c>
    </row>
    <row r="6" spans="1:18" x14ac:dyDescent="0.3">
      <c r="A6" t="s">
        <v>24</v>
      </c>
      <c r="B6" s="9">
        <v>4.3400999999999996</v>
      </c>
      <c r="C6" s="9">
        <v>4.4501999999999997</v>
      </c>
      <c r="D6" s="9">
        <v>4.3483000000000001</v>
      </c>
      <c r="E6" s="10">
        <f t="shared" ref="E6:E33" si="2">(B6+C6+D6)/3</f>
        <v>4.3795333333333328</v>
      </c>
      <c r="F6" s="10">
        <f t="shared" ref="F6:F33" si="3">(ABS(B6-E6)+ABS(C6-E6)+ABS(D6-E6))/3</f>
        <v>4.7111111111110958E-2</v>
      </c>
      <c r="G6" s="9"/>
      <c r="H6" s="9">
        <v>3.2233999999999998</v>
      </c>
      <c r="I6" s="9">
        <v>3.9178000000000002</v>
      </c>
      <c r="J6" s="9">
        <v>2.9944999999999999</v>
      </c>
      <c r="K6" s="10">
        <f t="shared" si="0"/>
        <v>3.3785666666666665</v>
      </c>
      <c r="L6" s="10">
        <f t="shared" ref="L6:L33" si="4">(ABS(H6-K6)+ABS(I6-K6)+ABS(J6-K6))/3</f>
        <v>0.35948888888888897</v>
      </c>
      <c r="M6" s="10"/>
      <c r="N6" s="183">
        <f t="shared" ref="N6:P33" si="5">H6/B6</f>
        <v>0.74270178106495244</v>
      </c>
      <c r="O6" s="183">
        <f t="shared" si="1"/>
        <v>0.88036492741899253</v>
      </c>
      <c r="P6" s="183">
        <f t="shared" si="1"/>
        <v>0.68865993606696863</v>
      </c>
      <c r="Q6" s="10">
        <f t="shared" ref="Q6:Q33" si="6">(N6+O6+P6)/3</f>
        <v>0.77057554818363794</v>
      </c>
      <c r="R6" s="10">
        <f t="shared" ref="R6:R33" si="7">(ABS(N6-Q6)+ABS(O6-Q6)+ABS(P6-Q6))/3</f>
        <v>7.3192919490236472E-2</v>
      </c>
    </row>
    <row r="7" spans="1:18" x14ac:dyDescent="0.3">
      <c r="A7" t="s">
        <v>25</v>
      </c>
      <c r="B7" s="9">
        <v>0.95899999999999996</v>
      </c>
      <c r="C7" s="9">
        <v>1.006</v>
      </c>
      <c r="D7" s="9">
        <v>1.2050000000000001</v>
      </c>
      <c r="E7" s="10">
        <f t="shared" si="2"/>
        <v>1.0566666666666666</v>
      </c>
      <c r="F7" s="10">
        <f t="shared" si="3"/>
        <v>9.8888888888888915E-2</v>
      </c>
      <c r="G7" s="9"/>
      <c r="H7" s="9">
        <v>6.7320000000000002</v>
      </c>
      <c r="I7" s="9">
        <v>6.9610000000000003</v>
      </c>
      <c r="J7" s="9">
        <v>5.9370000000000003</v>
      </c>
      <c r="K7" s="10">
        <f t="shared" si="0"/>
        <v>6.5433333333333339</v>
      </c>
      <c r="L7" s="10">
        <f t="shared" si="4"/>
        <v>0.40422222222222209</v>
      </c>
      <c r="M7" s="10"/>
      <c r="N7" s="183">
        <f t="shared" si="5"/>
        <v>7.0198123044838381</v>
      </c>
      <c r="O7" s="183">
        <f t="shared" si="1"/>
        <v>6.9194831013916502</v>
      </c>
      <c r="P7" s="183">
        <f t="shared" si="1"/>
        <v>4.9269709543568467</v>
      </c>
      <c r="Q7" s="10">
        <f t="shared" si="6"/>
        <v>6.2887554534107784</v>
      </c>
      <c r="R7" s="10">
        <f t="shared" si="7"/>
        <v>0.90785633270262112</v>
      </c>
    </row>
    <row r="8" spans="1:18" x14ac:dyDescent="0.3">
      <c r="A8" t="s">
        <v>26</v>
      </c>
      <c r="B8" s="9">
        <v>0.9456</v>
      </c>
      <c r="C8" s="9">
        <v>1.0055000000000001</v>
      </c>
      <c r="D8" s="9">
        <v>0.87739999999999996</v>
      </c>
      <c r="E8" s="10">
        <f t="shared" si="2"/>
        <v>0.9428333333333333</v>
      </c>
      <c r="F8" s="10">
        <f t="shared" si="3"/>
        <v>4.3622222222222264E-2</v>
      </c>
      <c r="G8" s="9"/>
      <c r="H8" s="9">
        <v>1.4103000000000001</v>
      </c>
      <c r="I8" s="9">
        <v>1.2323</v>
      </c>
      <c r="J8" s="9">
        <v>1.4298</v>
      </c>
      <c r="K8" s="10">
        <f t="shared" si="0"/>
        <v>1.3574666666666666</v>
      </c>
      <c r="L8" s="10">
        <f t="shared" si="4"/>
        <v>8.3444444444444502E-2</v>
      </c>
      <c r="M8" s="10"/>
      <c r="N8" s="183">
        <f t="shared" si="5"/>
        <v>1.4914340101522845</v>
      </c>
      <c r="O8" s="183">
        <f t="shared" si="1"/>
        <v>1.2255594231725508</v>
      </c>
      <c r="P8" s="183">
        <f t="shared" si="1"/>
        <v>1.6295874173695009</v>
      </c>
      <c r="Q8" s="10">
        <f t="shared" si="6"/>
        <v>1.4488602835647786</v>
      </c>
      <c r="R8" s="10">
        <f t="shared" si="7"/>
        <v>0.14886724026148532</v>
      </c>
    </row>
    <row r="9" spans="1:18" x14ac:dyDescent="0.3">
      <c r="A9" t="s">
        <v>27</v>
      </c>
      <c r="B9" s="9">
        <v>2.3210000000000002</v>
      </c>
      <c r="C9" s="9">
        <v>2.6150000000000002</v>
      </c>
      <c r="D9" s="9">
        <v>2.3340000000000001</v>
      </c>
      <c r="E9" s="10">
        <f t="shared" si="2"/>
        <v>2.4233333333333333</v>
      </c>
      <c r="F9" s="10">
        <f t="shared" si="3"/>
        <v>0.12777777777777777</v>
      </c>
      <c r="G9" s="9"/>
      <c r="H9" s="9">
        <v>5.0229999999999997</v>
      </c>
      <c r="I9" s="9">
        <v>3.1030000000000002</v>
      </c>
      <c r="J9" s="9">
        <v>4.008</v>
      </c>
      <c r="K9" s="10">
        <f t="shared" si="0"/>
        <v>4.0446666666666671</v>
      </c>
      <c r="L9" s="10">
        <f t="shared" si="4"/>
        <v>0.65222222222222215</v>
      </c>
      <c r="M9" s="10"/>
      <c r="N9" s="183">
        <f t="shared" si="5"/>
        <v>2.1641533821628607</v>
      </c>
      <c r="O9" s="183">
        <f t="shared" si="1"/>
        <v>1.1866156787762907</v>
      </c>
      <c r="P9" s="183">
        <f t="shared" si="1"/>
        <v>1.717223650385604</v>
      </c>
      <c r="Q9" s="10">
        <f t="shared" si="6"/>
        <v>1.6893309037749182</v>
      </c>
      <c r="R9" s="10">
        <f t="shared" si="7"/>
        <v>0.33514348333241856</v>
      </c>
    </row>
    <row r="10" spans="1:18" x14ac:dyDescent="0.3">
      <c r="A10" t="s">
        <v>28</v>
      </c>
      <c r="B10" s="9">
        <v>2.835</v>
      </c>
      <c r="C10" s="9">
        <v>3.3940000000000001</v>
      </c>
      <c r="D10" s="9">
        <v>2.5619999999999998</v>
      </c>
      <c r="E10" s="10">
        <f t="shared" si="2"/>
        <v>2.9303333333333335</v>
      </c>
      <c r="F10" s="10">
        <f t="shared" si="3"/>
        <v>0.30911111111111128</v>
      </c>
      <c r="G10" s="9"/>
      <c r="H10" s="9">
        <v>4.8410000000000002</v>
      </c>
      <c r="I10" s="9">
        <v>4.5519999999999996</v>
      </c>
      <c r="J10" s="9">
        <v>4.1500000000000004</v>
      </c>
      <c r="K10" s="10">
        <f t="shared" si="0"/>
        <v>4.514333333333334</v>
      </c>
      <c r="L10" s="10">
        <f t="shared" si="4"/>
        <v>0.24288888888888849</v>
      </c>
      <c r="M10" s="10"/>
      <c r="N10" s="183">
        <f t="shared" si="5"/>
        <v>1.7075837742504409</v>
      </c>
      <c r="O10" s="183">
        <f t="shared" si="1"/>
        <v>1.3411903358868591</v>
      </c>
      <c r="P10" s="183">
        <f t="shared" si="1"/>
        <v>1.6198282591725217</v>
      </c>
      <c r="Q10" s="10">
        <f t="shared" si="6"/>
        <v>1.5562007897699406</v>
      </c>
      <c r="R10" s="10">
        <f t="shared" si="7"/>
        <v>0.14334030258872099</v>
      </c>
    </row>
    <row r="11" spans="1:18" x14ac:dyDescent="0.3">
      <c r="A11" t="s">
        <v>29</v>
      </c>
      <c r="B11" s="9">
        <v>1.9219999999999999</v>
      </c>
      <c r="C11" s="9">
        <v>2.1509999999999998</v>
      </c>
      <c r="D11" s="9">
        <v>1.675</v>
      </c>
      <c r="E11" s="10">
        <f t="shared" si="2"/>
        <v>1.9159999999999997</v>
      </c>
      <c r="F11" s="10">
        <f t="shared" si="3"/>
        <v>0.16066666666666665</v>
      </c>
      <c r="G11" s="9"/>
      <c r="H11" s="9">
        <v>3.3149999999999999</v>
      </c>
      <c r="I11" s="9">
        <v>3.6019999999999999</v>
      </c>
      <c r="J11" s="9">
        <v>3.2160000000000002</v>
      </c>
      <c r="K11" s="10">
        <f t="shared" si="0"/>
        <v>3.3776666666666664</v>
      </c>
      <c r="L11" s="10">
        <f t="shared" si="4"/>
        <v>0.14955555555555536</v>
      </c>
      <c r="M11" s="10"/>
      <c r="N11" s="183">
        <f t="shared" si="5"/>
        <v>1.7247658688865766</v>
      </c>
      <c r="O11" s="183">
        <f t="shared" si="1"/>
        <v>1.6745699674569969</v>
      </c>
      <c r="P11" s="183">
        <f t="shared" si="1"/>
        <v>1.9200000000000002</v>
      </c>
      <c r="Q11" s="10">
        <f t="shared" si="6"/>
        <v>1.7731119454478579</v>
      </c>
      <c r="R11" s="10">
        <f t="shared" si="7"/>
        <v>9.7925369701428178E-2</v>
      </c>
    </row>
    <row r="12" spans="1:18" x14ac:dyDescent="0.3">
      <c r="A12" t="s">
        <v>30</v>
      </c>
      <c r="B12" s="9">
        <v>2.0310000000000001</v>
      </c>
      <c r="C12" s="9">
        <v>1.5249999999999999</v>
      </c>
      <c r="D12" s="9">
        <v>1.6220000000000001</v>
      </c>
      <c r="E12" s="10">
        <f t="shared" si="2"/>
        <v>1.726</v>
      </c>
      <c r="F12" s="10">
        <f t="shared" si="3"/>
        <v>0.20333333333333337</v>
      </c>
      <c r="G12" s="9"/>
      <c r="H12" s="9">
        <v>2.7450000000000001</v>
      </c>
      <c r="I12" s="9">
        <v>2.581</v>
      </c>
      <c r="J12" s="9">
        <v>2.7450000000000001</v>
      </c>
      <c r="K12" s="10">
        <f t="shared" si="0"/>
        <v>2.6903333333333337</v>
      </c>
      <c r="L12" s="10">
        <f t="shared" si="4"/>
        <v>7.288888888888885E-2</v>
      </c>
      <c r="M12" s="10"/>
      <c r="N12" s="183">
        <f t="shared" si="5"/>
        <v>1.3515509601181683</v>
      </c>
      <c r="O12" s="183">
        <f t="shared" si="1"/>
        <v>1.6924590163934428</v>
      </c>
      <c r="P12" s="183">
        <f t="shared" si="1"/>
        <v>1.6923551171393341</v>
      </c>
      <c r="Q12" s="10">
        <f t="shared" si="6"/>
        <v>1.5787883645503149</v>
      </c>
      <c r="R12" s="10">
        <f t="shared" si="7"/>
        <v>0.15149160295476452</v>
      </c>
    </row>
    <row r="13" spans="1:18" x14ac:dyDescent="0.3">
      <c r="A13" t="s">
        <v>31</v>
      </c>
      <c r="B13" s="9">
        <v>4.3840000000000003</v>
      </c>
      <c r="C13" s="9">
        <v>3.198</v>
      </c>
      <c r="D13" s="9">
        <v>1.885</v>
      </c>
      <c r="E13" s="10">
        <f t="shared" si="2"/>
        <v>3.1556666666666668</v>
      </c>
      <c r="F13" s="10">
        <f t="shared" si="3"/>
        <v>0.84711111111111104</v>
      </c>
      <c r="G13" s="9"/>
      <c r="H13" s="9">
        <v>5.593</v>
      </c>
      <c r="I13" s="9">
        <v>6.1890000000000001</v>
      </c>
      <c r="J13" s="9">
        <v>5.4340000000000002</v>
      </c>
      <c r="K13" s="10">
        <f t="shared" si="0"/>
        <v>5.738666666666667</v>
      </c>
      <c r="L13" s="10">
        <f t="shared" si="4"/>
        <v>0.30022222222222233</v>
      </c>
      <c r="M13" s="10"/>
      <c r="N13" s="183">
        <f t="shared" si="5"/>
        <v>1.2757755474452555</v>
      </c>
      <c r="O13" s="183">
        <f t="shared" si="1"/>
        <v>1.9352720450281427</v>
      </c>
      <c r="P13" s="183">
        <f t="shared" si="1"/>
        <v>2.8827586206896552</v>
      </c>
      <c r="Q13" s="10">
        <f t="shared" si="6"/>
        <v>2.0312687377210179</v>
      </c>
      <c r="R13" s="10">
        <f t="shared" si="7"/>
        <v>0.56765992197909165</v>
      </c>
    </row>
    <row r="14" spans="1:18" x14ac:dyDescent="0.3">
      <c r="A14" t="s">
        <v>32</v>
      </c>
      <c r="B14" s="9">
        <v>1.5720000000000001</v>
      </c>
      <c r="C14" s="9">
        <v>2.6339999999999999</v>
      </c>
      <c r="D14" s="9">
        <v>4.0780000000000003</v>
      </c>
      <c r="E14" s="10">
        <f t="shared" si="2"/>
        <v>2.761333333333333</v>
      </c>
      <c r="F14" s="10">
        <f t="shared" si="3"/>
        <v>0.87777777777777777</v>
      </c>
      <c r="G14" s="9"/>
      <c r="H14" s="9">
        <v>6.3449999999999998</v>
      </c>
      <c r="I14" s="9">
        <v>5.3920000000000003</v>
      </c>
      <c r="J14" s="9">
        <v>5.9960000000000004</v>
      </c>
      <c r="K14" s="10">
        <f t="shared" si="0"/>
        <v>5.9110000000000005</v>
      </c>
      <c r="L14" s="10">
        <f t="shared" si="4"/>
        <v>0.34599999999999981</v>
      </c>
      <c r="M14" s="10"/>
      <c r="N14" s="183">
        <f t="shared" si="5"/>
        <v>4.0362595419847329</v>
      </c>
      <c r="O14" s="183">
        <f t="shared" si="1"/>
        <v>2.04707668944571</v>
      </c>
      <c r="P14" s="183">
        <f t="shared" si="1"/>
        <v>1.470328592447278</v>
      </c>
      <c r="Q14" s="10">
        <f t="shared" si="6"/>
        <v>2.517888274625907</v>
      </c>
      <c r="R14" s="10">
        <f t="shared" si="7"/>
        <v>1.0122475115725507</v>
      </c>
    </row>
    <row r="15" spans="1:18" x14ac:dyDescent="0.3">
      <c r="A15" t="s">
        <v>33</v>
      </c>
      <c r="B15" s="9">
        <v>3.4060999999999999</v>
      </c>
      <c r="C15" s="9">
        <v>2.9060000000000001</v>
      </c>
      <c r="D15" s="9">
        <v>3.3239999999999998</v>
      </c>
      <c r="E15" s="10">
        <f t="shared" si="2"/>
        <v>3.2120333333333329</v>
      </c>
      <c r="F15" s="10">
        <f t="shared" si="3"/>
        <v>0.20402222222222224</v>
      </c>
      <c r="G15" s="9"/>
      <c r="H15" s="9">
        <v>3.5133999999999999</v>
      </c>
      <c r="I15" s="9">
        <v>3.5950000000000002</v>
      </c>
      <c r="J15" s="9">
        <v>3.645</v>
      </c>
      <c r="K15" s="10">
        <f t="shared" si="0"/>
        <v>3.5844666666666662</v>
      </c>
      <c r="L15" s="10">
        <f t="shared" si="4"/>
        <v>4.7377777777778039E-2</v>
      </c>
      <c r="M15" s="10"/>
      <c r="N15" s="183">
        <f t="shared" si="5"/>
        <v>1.0315023046886469</v>
      </c>
      <c r="O15" s="183">
        <f t="shared" si="1"/>
        <v>1.2370956641431521</v>
      </c>
      <c r="P15" s="183">
        <f t="shared" si="1"/>
        <v>1.0965703971119134</v>
      </c>
      <c r="Q15" s="10">
        <f t="shared" si="6"/>
        <v>1.1217227886479042</v>
      </c>
      <c r="R15" s="10">
        <f t="shared" si="7"/>
        <v>7.691525033016533E-2</v>
      </c>
    </row>
    <row r="16" spans="1:18" x14ac:dyDescent="0.3">
      <c r="A16" t="s">
        <v>34</v>
      </c>
      <c r="B16" s="9">
        <v>1.109</v>
      </c>
      <c r="C16" s="9">
        <v>1.2384999999999999</v>
      </c>
      <c r="D16" s="9">
        <v>0.98850000000000005</v>
      </c>
      <c r="E16" s="10">
        <f t="shared" si="2"/>
        <v>1.1120000000000001</v>
      </c>
      <c r="F16" s="10">
        <f t="shared" si="3"/>
        <v>8.433333333333333E-2</v>
      </c>
      <c r="G16" s="9"/>
      <c r="H16" s="9">
        <v>3.5562499999999999</v>
      </c>
      <c r="I16" s="9">
        <v>3.7327499999999998</v>
      </c>
      <c r="J16" s="9">
        <v>3.3737499999999998</v>
      </c>
      <c r="K16" s="10">
        <f t="shared" si="0"/>
        <v>3.5542499999999997</v>
      </c>
      <c r="L16" s="10">
        <f t="shared" si="4"/>
        <v>0.1203333333333334</v>
      </c>
      <c r="M16" s="10"/>
      <c r="N16" s="183">
        <f t="shared" si="5"/>
        <v>3.206717763751127</v>
      </c>
      <c r="O16" s="183">
        <f t="shared" si="1"/>
        <v>3.0139281388776746</v>
      </c>
      <c r="P16" s="183">
        <f t="shared" si="1"/>
        <v>3.4129994941831052</v>
      </c>
      <c r="Q16" s="10">
        <f t="shared" si="6"/>
        <v>3.2112151322706359</v>
      </c>
      <c r="R16" s="10">
        <f t="shared" si="7"/>
        <v>0.13452290794164648</v>
      </c>
    </row>
    <row r="17" spans="1:18" x14ac:dyDescent="0.3">
      <c r="A17" t="s">
        <v>35</v>
      </c>
      <c r="B17" s="9">
        <v>1.931</v>
      </c>
      <c r="C17" s="9">
        <v>6.1665000000000001</v>
      </c>
      <c r="D17" s="9">
        <v>4.5960000000000001</v>
      </c>
      <c r="E17" s="10">
        <f t="shared" si="2"/>
        <v>4.2311666666666667</v>
      </c>
      <c r="F17" s="10">
        <f t="shared" si="3"/>
        <v>1.5334444444444444</v>
      </c>
      <c r="G17" s="9"/>
      <c r="H17" s="9">
        <v>5.9189999999999996</v>
      </c>
      <c r="I17" s="9">
        <v>5.16</v>
      </c>
      <c r="J17" s="9">
        <v>5.8209999999999997</v>
      </c>
      <c r="K17" s="10">
        <f t="shared" si="0"/>
        <v>5.6333333333333329</v>
      </c>
      <c r="L17" s="10">
        <f t="shared" si="4"/>
        <v>0.31555555555555542</v>
      </c>
      <c r="M17" s="10"/>
      <c r="N17" s="183">
        <f t="shared" si="5"/>
        <v>3.0652511651993781</v>
      </c>
      <c r="O17" s="183">
        <f t="shared" si="1"/>
        <v>0.83677937241547073</v>
      </c>
      <c r="P17" s="183">
        <f t="shared" si="1"/>
        <v>1.2665361183637944</v>
      </c>
      <c r="Q17" s="10">
        <f t="shared" si="6"/>
        <v>1.722855551992881</v>
      </c>
      <c r="R17" s="10">
        <f t="shared" si="7"/>
        <v>0.89493040880433128</v>
      </c>
    </row>
    <row r="18" spans="1:18" x14ac:dyDescent="0.3">
      <c r="A18" t="s">
        <v>36</v>
      </c>
      <c r="B18" s="9">
        <v>2.9910000000000001</v>
      </c>
      <c r="C18" s="9">
        <v>2.472</v>
      </c>
      <c r="D18" s="9">
        <v>2.8210000000000002</v>
      </c>
      <c r="E18" s="10">
        <f t="shared" si="2"/>
        <v>2.7613333333333334</v>
      </c>
      <c r="F18" s="10">
        <f t="shared" si="3"/>
        <v>0.19288888888888897</v>
      </c>
      <c r="G18" s="9"/>
      <c r="H18" s="9">
        <v>5.8529999999999998</v>
      </c>
      <c r="I18" s="9">
        <v>6.5579999999999998</v>
      </c>
      <c r="J18" s="9">
        <v>6.157</v>
      </c>
      <c r="K18" s="10">
        <f t="shared" si="0"/>
        <v>6.1893333333333329</v>
      </c>
      <c r="L18" s="10">
        <f t="shared" si="4"/>
        <v>0.24577777777777765</v>
      </c>
      <c r="M18" s="10"/>
      <c r="N18" s="183">
        <f t="shared" si="5"/>
        <v>1.9568706118355064</v>
      </c>
      <c r="O18" s="183">
        <f t="shared" si="1"/>
        <v>2.6529126213592233</v>
      </c>
      <c r="P18" s="183">
        <f t="shared" si="1"/>
        <v>2.1825593761077631</v>
      </c>
      <c r="Q18" s="10">
        <f t="shared" si="6"/>
        <v>2.264114203100831</v>
      </c>
      <c r="R18" s="10">
        <f t="shared" si="7"/>
        <v>0.25919894550559497</v>
      </c>
    </row>
    <row r="19" spans="1:18" x14ac:dyDescent="0.3">
      <c r="A19" t="s">
        <v>37</v>
      </c>
      <c r="B19" s="9">
        <v>5.8500000000000003E-2</v>
      </c>
      <c r="C19" s="9">
        <v>6.83E-2</v>
      </c>
      <c r="D19" s="9">
        <v>0.1138</v>
      </c>
      <c r="E19" s="10">
        <f>(B19+C19+D19)/3</f>
        <v>8.0199999999999994E-2</v>
      </c>
      <c r="F19" s="10">
        <f>(ABS(B19-E19)+ABS(C19-E19)+ABS(D19-E19))/3</f>
        <v>2.2399999999999993E-2</v>
      </c>
      <c r="G19" s="9"/>
      <c r="H19" s="9">
        <v>9.8299999999999998E-2</v>
      </c>
      <c r="I19" s="9">
        <v>5.1999999999999998E-2</v>
      </c>
      <c r="J19" s="9">
        <v>0.13300000000000001</v>
      </c>
      <c r="K19" s="10">
        <f t="shared" si="0"/>
        <v>9.4433333333333327E-2</v>
      </c>
      <c r="L19" s="10">
        <f t="shared" si="4"/>
        <v>2.8288888888888891E-2</v>
      </c>
      <c r="M19" s="10"/>
      <c r="N19" s="183">
        <f t="shared" si="5"/>
        <v>1.6803418803418801</v>
      </c>
      <c r="O19" s="183">
        <f t="shared" si="1"/>
        <v>0.76134699853587118</v>
      </c>
      <c r="P19" s="183">
        <f t="shared" si="1"/>
        <v>1.1687170474516697</v>
      </c>
      <c r="Q19" s="10">
        <f t="shared" si="6"/>
        <v>1.2034686421098069</v>
      </c>
      <c r="R19" s="10">
        <f t="shared" si="7"/>
        <v>0.31791549215471537</v>
      </c>
    </row>
    <row r="20" spans="1:18" x14ac:dyDescent="0.3">
      <c r="A20" t="s">
        <v>38</v>
      </c>
      <c r="B20" s="9">
        <v>5.0700000000000002E-2</v>
      </c>
      <c r="C20" s="9">
        <v>3.3399999999999999E-2</v>
      </c>
      <c r="D20" s="9">
        <v>4.1300000000000003E-2</v>
      </c>
      <c r="E20" s="10">
        <f t="shared" si="2"/>
        <v>4.1800000000000004E-2</v>
      </c>
      <c r="F20" s="10">
        <f t="shared" si="3"/>
        <v>5.9333333333333347E-3</v>
      </c>
      <c r="G20" s="9"/>
      <c r="H20" s="9">
        <v>0.42199999999999999</v>
      </c>
      <c r="I20" s="9">
        <v>0.39200000000000002</v>
      </c>
      <c r="J20" s="9">
        <v>0.36559999999999998</v>
      </c>
      <c r="K20" s="10">
        <f t="shared" si="0"/>
        <v>0.39319999999999999</v>
      </c>
      <c r="L20" s="10">
        <f t="shared" si="4"/>
        <v>1.9199999999999995E-2</v>
      </c>
      <c r="M20" s="10"/>
      <c r="N20" s="183">
        <f t="shared" si="5"/>
        <v>8.3234714003944763</v>
      </c>
      <c r="O20" s="183">
        <f t="shared" si="1"/>
        <v>11.736526946107785</v>
      </c>
      <c r="P20" s="183">
        <f t="shared" si="1"/>
        <v>8.8523002421307488</v>
      </c>
      <c r="Q20" s="10">
        <f t="shared" si="6"/>
        <v>9.6374328628776702</v>
      </c>
      <c r="R20" s="10">
        <f t="shared" si="7"/>
        <v>1.3993960554867435</v>
      </c>
    </row>
    <row r="21" spans="1:18" x14ac:dyDescent="0.3">
      <c r="A21" t="s">
        <v>39</v>
      </c>
      <c r="B21" s="9">
        <v>1.7304999999999999</v>
      </c>
      <c r="C21" s="9">
        <v>1.2410000000000001</v>
      </c>
      <c r="D21" s="9">
        <v>1.6241000000000001</v>
      </c>
      <c r="E21" s="10">
        <f t="shared" si="2"/>
        <v>1.5318666666666667</v>
      </c>
      <c r="F21" s="10">
        <f t="shared" si="3"/>
        <v>0.19391111111111106</v>
      </c>
      <c r="G21" s="9"/>
      <c r="H21" s="9">
        <v>2.0449999999999999</v>
      </c>
      <c r="I21" s="9">
        <v>2.1059999999999999</v>
      </c>
      <c r="J21" s="9">
        <v>2.1469999999999998</v>
      </c>
      <c r="K21" s="10">
        <f>(H21+I21+J21)/3</f>
        <v>2.0993333333333335</v>
      </c>
      <c r="L21" s="10">
        <f t="shared" si="4"/>
        <v>3.6222222222222079E-2</v>
      </c>
      <c r="M21" s="10"/>
      <c r="N21" s="183">
        <f t="shared" si="5"/>
        <v>1.1817393816815949</v>
      </c>
      <c r="O21" s="183">
        <f t="shared" si="5"/>
        <v>1.6970185334407732</v>
      </c>
      <c r="P21" s="183">
        <f t="shared" si="5"/>
        <v>1.3219629333169138</v>
      </c>
      <c r="Q21" s="10">
        <f t="shared" si="6"/>
        <v>1.400240282813094</v>
      </c>
      <c r="R21" s="10">
        <f t="shared" si="7"/>
        <v>0.19785216708511952</v>
      </c>
    </row>
    <row r="22" spans="1:18" x14ac:dyDescent="0.3">
      <c r="A22" t="s">
        <v>40</v>
      </c>
      <c r="B22" s="9">
        <v>5.2999999999999999E-2</v>
      </c>
      <c r="C22" s="9">
        <v>4.5499999999999999E-2</v>
      </c>
      <c r="D22" s="9">
        <v>2.3740000000000001E-2</v>
      </c>
      <c r="E22" s="10">
        <f t="shared" si="2"/>
        <v>4.0746666666666667E-2</v>
      </c>
      <c r="F22" s="10">
        <f t="shared" si="3"/>
        <v>1.1337777777777775E-2</v>
      </c>
      <c r="G22" s="9"/>
      <c r="H22" s="9">
        <v>0.66159999999999997</v>
      </c>
      <c r="I22" s="9">
        <v>0.82099999999999995</v>
      </c>
      <c r="J22" s="9">
        <v>0.73080000000000001</v>
      </c>
      <c r="K22" s="10">
        <f t="shared" si="0"/>
        <v>0.73780000000000001</v>
      </c>
      <c r="L22" s="10">
        <f t="shared" si="4"/>
        <v>5.5466666666666664E-2</v>
      </c>
      <c r="M22" s="10"/>
      <c r="N22" s="183">
        <f t="shared" si="5"/>
        <v>12.483018867924528</v>
      </c>
      <c r="O22" s="183">
        <f t="shared" si="5"/>
        <v>18.043956043956044</v>
      </c>
      <c r="P22" s="183">
        <f t="shared" si="5"/>
        <v>30.783487784330244</v>
      </c>
      <c r="Q22" s="10">
        <f t="shared" si="6"/>
        <v>20.43682089873694</v>
      </c>
      <c r="R22" s="10">
        <f t="shared" si="7"/>
        <v>6.8977779237288708</v>
      </c>
    </row>
    <row r="23" spans="1:18" x14ac:dyDescent="0.3">
      <c r="A23" t="s">
        <v>41</v>
      </c>
      <c r="B23" s="9">
        <v>3.5400000000000001E-2</v>
      </c>
      <c r="C23" s="9">
        <v>5.7299999999999997E-2</v>
      </c>
      <c r="D23" s="9">
        <v>5.11E-2</v>
      </c>
      <c r="E23" s="10">
        <f t="shared" si="2"/>
        <v>4.7933333333333335E-2</v>
      </c>
      <c r="F23" s="10">
        <f t="shared" si="3"/>
        <v>8.3555555555555536E-3</v>
      </c>
      <c r="G23" s="9"/>
      <c r="H23" s="9">
        <v>6.0400000000000002E-2</v>
      </c>
      <c r="I23" s="9">
        <v>0.109</v>
      </c>
      <c r="J23" s="9">
        <v>0.10625000000000001</v>
      </c>
      <c r="K23" s="10">
        <f t="shared" si="0"/>
        <v>9.1883333333333331E-2</v>
      </c>
      <c r="L23" s="10">
        <f t="shared" si="4"/>
        <v>2.098888888888889E-2</v>
      </c>
      <c r="M23" s="10"/>
      <c r="N23" s="183">
        <f t="shared" si="5"/>
        <v>1.7062146892655368</v>
      </c>
      <c r="O23" s="183">
        <f t="shared" si="5"/>
        <v>1.9022687609075044</v>
      </c>
      <c r="P23" s="183">
        <f t="shared" si="5"/>
        <v>2.0792563600782783</v>
      </c>
      <c r="Q23" s="10">
        <f t="shared" si="6"/>
        <v>1.8959132700837731</v>
      </c>
      <c r="R23" s="10">
        <f t="shared" si="7"/>
        <v>0.12646572054549096</v>
      </c>
    </row>
    <row r="24" spans="1:18" x14ac:dyDescent="0.3">
      <c r="A24" t="s">
        <v>42</v>
      </c>
      <c r="B24" s="9">
        <v>4.3299999999999998E-2</v>
      </c>
      <c r="C24" s="9">
        <v>4.6899999999999997E-2</v>
      </c>
      <c r="D24" s="9">
        <v>3.2500000000000001E-2</v>
      </c>
      <c r="E24" s="10">
        <f t="shared" si="2"/>
        <v>4.0899999999999999E-2</v>
      </c>
      <c r="F24" s="10">
        <f t="shared" si="3"/>
        <v>5.5999999999999982E-3</v>
      </c>
      <c r="G24" s="9"/>
      <c r="H24" s="9">
        <v>0.24540000000000001</v>
      </c>
      <c r="I24" s="9">
        <v>0.3301</v>
      </c>
      <c r="J24" s="9">
        <v>0.29599999999999999</v>
      </c>
      <c r="K24" s="10">
        <f t="shared" si="0"/>
        <v>0.29049999999999998</v>
      </c>
      <c r="L24" s="10">
        <f t="shared" si="4"/>
        <v>3.0066666666666669E-2</v>
      </c>
      <c r="M24" s="10"/>
      <c r="N24" s="183">
        <f t="shared" si="5"/>
        <v>5.6674364896073905</v>
      </c>
      <c r="O24" s="183">
        <f t="shared" si="5"/>
        <v>7.0383795309168447</v>
      </c>
      <c r="P24" s="183">
        <f t="shared" si="5"/>
        <v>9.1076923076923073</v>
      </c>
      <c r="Q24" s="10">
        <f t="shared" si="6"/>
        <v>7.2711694427388478</v>
      </c>
      <c r="R24" s="10">
        <f t="shared" si="7"/>
        <v>1.2243485766356399</v>
      </c>
    </row>
    <row r="25" spans="1:18" x14ac:dyDescent="0.3">
      <c r="A25" t="s">
        <v>43</v>
      </c>
      <c r="B25" s="9">
        <v>1.4061999999999999</v>
      </c>
      <c r="C25" s="9">
        <v>1.9185000000000001</v>
      </c>
      <c r="D25" s="9">
        <v>2.2534999999999998</v>
      </c>
      <c r="E25" s="10">
        <f t="shared" si="2"/>
        <v>1.8593999999999999</v>
      </c>
      <c r="F25" s="10">
        <f>(ABS(B25-E25)+ABS(C25-E25)+ABS(D25-E25))/3</f>
        <v>0.30213333333333336</v>
      </c>
      <c r="G25" s="9"/>
      <c r="H25" s="9">
        <v>2.5922999999999998</v>
      </c>
      <c r="I25" s="9">
        <v>2.4925000000000002</v>
      </c>
      <c r="J25" s="9">
        <v>2.5255999999999998</v>
      </c>
      <c r="K25" s="10">
        <f t="shared" si="0"/>
        <v>2.5367999999999999</v>
      </c>
      <c r="L25" s="10">
        <f t="shared" si="4"/>
        <v>3.6999999999999922E-2</v>
      </c>
      <c r="M25" s="10"/>
      <c r="N25" s="183">
        <f t="shared" si="5"/>
        <v>1.84347887924904</v>
      </c>
      <c r="O25" s="183">
        <f t="shared" si="5"/>
        <v>1.2991920771436019</v>
      </c>
      <c r="P25" s="183">
        <f t="shared" si="5"/>
        <v>1.1207455069891281</v>
      </c>
      <c r="Q25" s="10">
        <f t="shared" si="6"/>
        <v>1.4211388211272566</v>
      </c>
      <c r="R25" s="10">
        <f t="shared" si="7"/>
        <v>0.28156003874785557</v>
      </c>
    </row>
    <row r="26" spans="1:18" x14ac:dyDescent="0.3">
      <c r="A26" t="s">
        <v>44</v>
      </c>
      <c r="B26" s="9">
        <v>1.8133999999999999</v>
      </c>
      <c r="C26" s="9">
        <v>1.5061</v>
      </c>
      <c r="D26" s="9">
        <v>1.8725000000000001</v>
      </c>
      <c r="E26" s="10">
        <f t="shared" si="2"/>
        <v>1.7306666666666668</v>
      </c>
      <c r="F26" s="10">
        <f t="shared" si="3"/>
        <v>0.14971111111111104</v>
      </c>
      <c r="G26" s="9"/>
      <c r="H26" s="9">
        <v>3.1395</v>
      </c>
      <c r="I26" s="9">
        <v>2.9845000000000002</v>
      </c>
      <c r="J26" s="9">
        <v>2.9546999999999999</v>
      </c>
      <c r="K26" s="10">
        <f t="shared" si="0"/>
        <v>3.0262333333333338</v>
      </c>
      <c r="L26" s="10">
        <f t="shared" si="4"/>
        <v>7.5511111111111237E-2</v>
      </c>
      <c r="M26" s="10"/>
      <c r="N26" s="183">
        <f t="shared" si="5"/>
        <v>1.7312782618286093</v>
      </c>
      <c r="O26" s="183">
        <f t="shared" si="5"/>
        <v>1.9816081269504018</v>
      </c>
      <c r="P26" s="183">
        <f t="shared" si="5"/>
        <v>1.5779439252336447</v>
      </c>
      <c r="Q26" s="10">
        <f t="shared" si="6"/>
        <v>1.7636101046708852</v>
      </c>
      <c r="R26" s="10">
        <f t="shared" si="7"/>
        <v>0.14533201485301098</v>
      </c>
    </row>
    <row r="27" spans="1:18" x14ac:dyDescent="0.3">
      <c r="A27" t="s">
        <v>45</v>
      </c>
      <c r="B27" s="9">
        <v>1.4225000000000001</v>
      </c>
      <c r="C27" s="9">
        <v>1.8514999999999999</v>
      </c>
      <c r="D27" s="9">
        <v>0.80320000000000003</v>
      </c>
      <c r="E27" s="10">
        <f t="shared" si="2"/>
        <v>1.3590666666666669</v>
      </c>
      <c r="F27" s="10">
        <f t="shared" si="3"/>
        <v>0.37057777777777767</v>
      </c>
      <c r="G27" s="9"/>
      <c r="H27" s="9">
        <v>1.9944999999999999</v>
      </c>
      <c r="I27" s="9">
        <v>2.1135999999999999</v>
      </c>
      <c r="J27" s="9">
        <v>2.0434000000000001</v>
      </c>
      <c r="K27" s="10">
        <f t="shared" si="0"/>
        <v>2.0505</v>
      </c>
      <c r="L27" s="10">
        <f t="shared" si="4"/>
        <v>4.206666666666662E-2</v>
      </c>
      <c r="M27" s="10"/>
      <c r="N27" s="183">
        <f t="shared" si="5"/>
        <v>1.4021089630931458</v>
      </c>
      <c r="O27" s="183">
        <f t="shared" si="5"/>
        <v>1.1415608965703483</v>
      </c>
      <c r="P27" s="183">
        <f t="shared" si="5"/>
        <v>2.544073705179283</v>
      </c>
      <c r="Q27" s="10">
        <f t="shared" si="6"/>
        <v>1.6959145216142588</v>
      </c>
      <c r="R27" s="10">
        <f t="shared" si="7"/>
        <v>0.56543945571001586</v>
      </c>
    </row>
    <row r="28" spans="1:18" x14ac:dyDescent="0.3">
      <c r="A28" t="s">
        <v>46</v>
      </c>
      <c r="B28" s="9">
        <v>0.85599999999999998</v>
      </c>
      <c r="C28" s="9">
        <v>1.234</v>
      </c>
      <c r="D28" s="9">
        <v>1.1910000000000001</v>
      </c>
      <c r="E28" s="10">
        <f t="shared" si="2"/>
        <v>1.0936666666666666</v>
      </c>
      <c r="F28" s="10">
        <f t="shared" si="3"/>
        <v>0.1584444444444445</v>
      </c>
      <c r="G28" s="9"/>
      <c r="H28" s="9">
        <v>3.3239999999999998</v>
      </c>
      <c r="I28" s="9">
        <v>2.8320000000000003</v>
      </c>
      <c r="J28" s="9">
        <v>2.7109999999999999</v>
      </c>
      <c r="K28" s="10">
        <f t="shared" si="0"/>
        <v>2.9556666666666671</v>
      </c>
      <c r="L28" s="10">
        <f t="shared" si="4"/>
        <v>0.24555555555555561</v>
      </c>
      <c r="M28" s="10"/>
      <c r="N28" s="183">
        <f t="shared" si="5"/>
        <v>3.8831775700934577</v>
      </c>
      <c r="O28" s="183">
        <f t="shared" si="5"/>
        <v>2.294975688816856</v>
      </c>
      <c r="P28" s="183">
        <f t="shared" si="5"/>
        <v>2.2762384550797647</v>
      </c>
      <c r="Q28" s="10">
        <f t="shared" si="6"/>
        <v>2.8181305713300264</v>
      </c>
      <c r="R28" s="10">
        <f t="shared" si="7"/>
        <v>0.71003133250895445</v>
      </c>
    </row>
    <row r="29" spans="1:18" x14ac:dyDescent="0.3">
      <c r="A29" t="s">
        <v>47</v>
      </c>
      <c r="B29" s="9">
        <v>0.52300000000000002</v>
      </c>
      <c r="C29" s="9">
        <v>0.94699999999999995</v>
      </c>
      <c r="D29" s="9">
        <v>0.68899999999999995</v>
      </c>
      <c r="E29" s="10">
        <f t="shared" si="2"/>
        <v>0.71966666666666657</v>
      </c>
      <c r="F29" s="10">
        <f t="shared" si="3"/>
        <v>0.15155555555555553</v>
      </c>
      <c r="G29" s="9"/>
      <c r="H29" s="9">
        <v>1.325</v>
      </c>
      <c r="I29" s="9">
        <v>1.6619999999999999</v>
      </c>
      <c r="J29" s="9">
        <v>1.9350000000000001</v>
      </c>
      <c r="K29" s="10">
        <f t="shared" si="0"/>
        <v>1.6406666666666669</v>
      </c>
      <c r="L29" s="10">
        <f t="shared" si="4"/>
        <v>0.21044444444444435</v>
      </c>
      <c r="M29" s="10"/>
      <c r="N29" s="183">
        <f t="shared" si="5"/>
        <v>2.5334608030592731</v>
      </c>
      <c r="O29" s="183">
        <f t="shared" si="5"/>
        <v>1.7550158394931363</v>
      </c>
      <c r="P29" s="183">
        <f t="shared" si="5"/>
        <v>2.8084179970972425</v>
      </c>
      <c r="Q29" s="10">
        <f t="shared" si="6"/>
        <v>2.3656315465498841</v>
      </c>
      <c r="R29" s="10">
        <f t="shared" si="7"/>
        <v>0.40707713803783174</v>
      </c>
    </row>
    <row r="30" spans="1:18" x14ac:dyDescent="0.3">
      <c r="A30" t="s">
        <v>48</v>
      </c>
      <c r="B30" s="9">
        <v>0.14355000000000001</v>
      </c>
      <c r="C30" s="9">
        <v>9.3600000000000003E-2</v>
      </c>
      <c r="D30" s="9">
        <v>0.1145</v>
      </c>
      <c r="E30" s="10">
        <f t="shared" si="2"/>
        <v>0.11721666666666668</v>
      </c>
      <c r="F30" s="10">
        <f t="shared" si="3"/>
        <v>1.755555555555556E-2</v>
      </c>
      <c r="G30" s="9"/>
      <c r="H30" s="9">
        <v>1.0526</v>
      </c>
      <c r="I30" s="9">
        <v>0.9728</v>
      </c>
      <c r="J30" s="9">
        <v>1.0145</v>
      </c>
      <c r="K30" s="10">
        <f t="shared" si="0"/>
        <v>1.0132999999999999</v>
      </c>
      <c r="L30" s="10">
        <f t="shared" si="4"/>
        <v>2.7000000000000024E-2</v>
      </c>
      <c r="M30" s="10"/>
      <c r="N30" s="183">
        <f t="shared" si="5"/>
        <v>7.3326367119470559</v>
      </c>
      <c r="O30" s="183">
        <f t="shared" si="5"/>
        <v>10.393162393162394</v>
      </c>
      <c r="P30" s="183">
        <f t="shared" si="5"/>
        <v>8.8602620087336241</v>
      </c>
      <c r="Q30" s="10">
        <f t="shared" si="6"/>
        <v>8.8620203712810248</v>
      </c>
      <c r="R30" s="10">
        <f t="shared" si="7"/>
        <v>1.0207613479209128</v>
      </c>
    </row>
    <row r="31" spans="1:18" x14ac:dyDescent="0.3">
      <c r="A31" t="s">
        <v>49</v>
      </c>
      <c r="B31" s="9">
        <v>0.51200000000000001</v>
      </c>
      <c r="C31" s="9">
        <v>0.19500000000000001</v>
      </c>
      <c r="D31" s="9">
        <v>0.27300000000000002</v>
      </c>
      <c r="E31" s="10">
        <f>(B31+C31+D31)/3</f>
        <v>0.32666666666666672</v>
      </c>
      <c r="F31" s="10">
        <f t="shared" si="3"/>
        <v>0.12355555555555557</v>
      </c>
      <c r="G31" s="9"/>
      <c r="H31" s="9">
        <v>1.9219999999999999</v>
      </c>
      <c r="I31" s="9">
        <v>4.4870000000000001</v>
      </c>
      <c r="J31" s="9">
        <v>4.141</v>
      </c>
      <c r="K31" s="10">
        <f t="shared" si="0"/>
        <v>3.5166666666666671</v>
      </c>
      <c r="L31" s="10">
        <f t="shared" si="4"/>
        <v>1.0631111111111111</v>
      </c>
      <c r="M31" s="10"/>
      <c r="N31" s="183">
        <f t="shared" si="5"/>
        <v>3.75390625</v>
      </c>
      <c r="O31" s="183">
        <f t="shared" si="5"/>
        <v>23.01025641025641</v>
      </c>
      <c r="P31" s="183">
        <f t="shared" si="5"/>
        <v>15.168498168498168</v>
      </c>
      <c r="Q31" s="10">
        <f t="shared" si="6"/>
        <v>13.977553609584859</v>
      </c>
      <c r="R31" s="10">
        <f t="shared" si="7"/>
        <v>6.815764906389906</v>
      </c>
    </row>
    <row r="32" spans="1:18" x14ac:dyDescent="0.3">
      <c r="A32" t="s">
        <v>50</v>
      </c>
      <c r="B32" s="9">
        <v>1.3367</v>
      </c>
      <c r="C32" s="9">
        <v>0.99299999999999999</v>
      </c>
      <c r="D32" s="9">
        <v>0.70330000000000004</v>
      </c>
      <c r="E32" s="10">
        <f t="shared" si="2"/>
        <v>1.0109999999999999</v>
      </c>
      <c r="F32" s="10">
        <f t="shared" si="3"/>
        <v>0.21713333333333329</v>
      </c>
      <c r="G32" s="9"/>
      <c r="H32" s="9">
        <v>1.8566666666666667</v>
      </c>
      <c r="I32" s="9">
        <v>1.776</v>
      </c>
      <c r="J32" s="9">
        <v>1.593</v>
      </c>
      <c r="K32" s="10">
        <f t="shared" si="0"/>
        <v>1.741888888888889</v>
      </c>
      <c r="L32" s="10">
        <f t="shared" si="4"/>
        <v>9.9259259259259228E-2</v>
      </c>
      <c r="M32" s="10"/>
      <c r="N32" s="183">
        <f t="shared" si="5"/>
        <v>1.3889927931971771</v>
      </c>
      <c r="O32" s="183">
        <f t="shared" si="5"/>
        <v>1.7885196374622356</v>
      </c>
      <c r="P32" s="183">
        <f t="shared" si="5"/>
        <v>2.2650362576425422</v>
      </c>
      <c r="Q32" s="10">
        <f t="shared" si="6"/>
        <v>1.8141828961006514</v>
      </c>
      <c r="R32" s="10">
        <f t="shared" si="7"/>
        <v>0.30056890769459366</v>
      </c>
    </row>
    <row r="33" spans="1:18" x14ac:dyDescent="0.3">
      <c r="A33" t="s">
        <v>51</v>
      </c>
      <c r="B33" s="9">
        <v>0.40100000000000002</v>
      </c>
      <c r="C33" s="9">
        <v>0.20250000000000001</v>
      </c>
      <c r="D33" s="9">
        <v>0.254</v>
      </c>
      <c r="E33" s="10">
        <f t="shared" si="2"/>
        <v>0.28583333333333333</v>
      </c>
      <c r="F33" s="10">
        <f t="shared" si="3"/>
        <v>7.6777777777777778E-2</v>
      </c>
      <c r="G33" s="9"/>
      <c r="H33" s="9">
        <v>0.55000000000000004</v>
      </c>
      <c r="I33" s="9">
        <v>2.9205000000000001</v>
      </c>
      <c r="J33" s="9">
        <v>1.36015</v>
      </c>
      <c r="K33" s="10">
        <f t="shared" si="0"/>
        <v>1.6102166666666669</v>
      </c>
      <c r="L33" s="10">
        <f t="shared" si="4"/>
        <v>0.87352222222222231</v>
      </c>
      <c r="M33" s="10"/>
      <c r="N33" s="183">
        <f t="shared" si="5"/>
        <v>1.3715710723192021</v>
      </c>
      <c r="O33" s="183">
        <f t="shared" si="5"/>
        <v>14.422222222222222</v>
      </c>
      <c r="P33" s="183">
        <f t="shared" si="5"/>
        <v>5.3549212598425191</v>
      </c>
      <c r="Q33" s="10">
        <f t="shared" si="6"/>
        <v>7.0495715181279808</v>
      </c>
      <c r="R33" s="10">
        <f t="shared" si="7"/>
        <v>4.9151004693961609</v>
      </c>
    </row>
  </sheetData>
  <mergeCells count="13">
    <mergeCell ref="Q3:Q4"/>
    <mergeCell ref="N2:Q2"/>
    <mergeCell ref="R3:R4"/>
    <mergeCell ref="B3:D3"/>
    <mergeCell ref="E3:E4"/>
    <mergeCell ref="F3:F4"/>
    <mergeCell ref="H3:J3"/>
    <mergeCell ref="K3:K4"/>
    <mergeCell ref="A2:A4"/>
    <mergeCell ref="B2:F2"/>
    <mergeCell ref="H2:L2"/>
    <mergeCell ref="L3:L4"/>
    <mergeCell ref="N3:P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Normal="100" workbookViewId="0">
      <selection activeCell="H21" sqref="H21"/>
    </sheetView>
  </sheetViews>
  <sheetFormatPr defaultRowHeight="14.4" x14ac:dyDescent="0.3"/>
  <cols>
    <col min="1" max="1" width="19.88671875" bestFit="1" customWidth="1"/>
    <col min="2" max="4" width="10.44140625" bestFit="1" customWidth="1"/>
    <col min="8" max="10" width="10.44140625" bestFit="1" customWidth="1"/>
    <col min="14" max="14" width="14.109375" bestFit="1" customWidth="1"/>
    <col min="15" max="15" width="14.109375" customWidth="1"/>
    <col min="17" max="17" width="33.33203125" bestFit="1" customWidth="1"/>
    <col min="18" max="18" width="18.44140625" bestFit="1" customWidth="1"/>
    <col min="19" max="19" width="19.33203125" bestFit="1" customWidth="1"/>
  </cols>
  <sheetData>
    <row r="1" spans="1:20" x14ac:dyDescent="0.3">
      <c r="A1" s="1" t="s">
        <v>333</v>
      </c>
    </row>
    <row r="2" spans="1:20" x14ac:dyDescent="0.3">
      <c r="A2" s="207" t="s">
        <v>52</v>
      </c>
      <c r="B2" s="208" t="s">
        <v>12</v>
      </c>
      <c r="C2" s="208"/>
      <c r="D2" s="208"/>
      <c r="E2" s="208"/>
      <c r="F2" s="208"/>
      <c r="G2" s="2"/>
      <c r="H2" s="208" t="s">
        <v>13</v>
      </c>
      <c r="I2" s="208"/>
      <c r="J2" s="208"/>
      <c r="K2" s="208"/>
      <c r="L2" s="208"/>
      <c r="M2" s="185"/>
      <c r="N2" s="207" t="s">
        <v>20</v>
      </c>
      <c r="O2" s="207" t="s">
        <v>5</v>
      </c>
      <c r="P2" s="166"/>
      <c r="Q2" s="207" t="s">
        <v>53</v>
      </c>
      <c r="R2" s="213" t="s">
        <v>21</v>
      </c>
      <c r="S2" s="213" t="s">
        <v>22</v>
      </c>
      <c r="T2" s="12"/>
    </row>
    <row r="3" spans="1:20" x14ac:dyDescent="0.3">
      <c r="A3" s="207"/>
      <c r="B3" s="209" t="s">
        <v>3</v>
      </c>
      <c r="C3" s="210"/>
      <c r="D3" s="210"/>
      <c r="E3" s="207" t="s">
        <v>4</v>
      </c>
      <c r="F3" s="207" t="s">
        <v>5</v>
      </c>
      <c r="G3" s="2"/>
      <c r="H3" s="209" t="s">
        <v>3</v>
      </c>
      <c r="I3" s="210"/>
      <c r="J3" s="210"/>
      <c r="K3" s="207" t="s">
        <v>4</v>
      </c>
      <c r="L3" s="207" t="s">
        <v>5</v>
      </c>
      <c r="M3" s="184"/>
      <c r="N3" s="207"/>
      <c r="O3" s="207"/>
      <c r="P3" s="166"/>
      <c r="Q3" s="207"/>
      <c r="R3" s="213"/>
      <c r="S3" s="213"/>
      <c r="T3" s="12"/>
    </row>
    <row r="4" spans="1:20" x14ac:dyDescent="0.3">
      <c r="A4" s="207"/>
      <c r="B4" s="3" t="s">
        <v>7</v>
      </c>
      <c r="C4" s="3" t="s">
        <v>8</v>
      </c>
      <c r="D4" s="3" t="s">
        <v>9</v>
      </c>
      <c r="E4" s="207"/>
      <c r="F4" s="207"/>
      <c r="G4" s="2"/>
      <c r="H4" s="3" t="s">
        <v>7</v>
      </c>
      <c r="I4" s="3" t="s">
        <v>8</v>
      </c>
      <c r="J4" s="3" t="s">
        <v>9</v>
      </c>
      <c r="K4" s="207"/>
      <c r="L4" s="207"/>
      <c r="M4" s="184"/>
      <c r="N4" s="207"/>
      <c r="O4" s="207"/>
      <c r="P4" s="166"/>
      <c r="Q4" s="207"/>
      <c r="R4" s="213"/>
      <c r="S4" s="213"/>
      <c r="T4" s="12"/>
    </row>
    <row r="5" spans="1:20" x14ac:dyDescent="0.3">
      <c r="A5" t="s">
        <v>23</v>
      </c>
      <c r="B5" s="9">
        <v>24.36</v>
      </c>
      <c r="C5" s="9">
        <v>18.13</v>
      </c>
      <c r="D5" s="9">
        <v>41.44</v>
      </c>
      <c r="E5" s="9">
        <f t="shared" ref="E5:E10" si="0">(B5+C5+D5)/3</f>
        <v>27.976666666666663</v>
      </c>
      <c r="F5" s="9">
        <f t="shared" ref="F5:F10" si="1">(ABS(B5-E5)+ABS(C5-E5)+ABS(D5-E5))/3</f>
        <v>8.9755555555555535</v>
      </c>
      <c r="G5" s="9"/>
      <c r="H5" s="9">
        <v>53.314</v>
      </c>
      <c r="I5" s="9">
        <v>73.912999999999997</v>
      </c>
      <c r="J5" s="9">
        <v>66.695400000000006</v>
      </c>
      <c r="K5" s="9">
        <f t="shared" ref="K5:K10" si="2">(H5+I5+J5)/3</f>
        <v>64.640799999999999</v>
      </c>
      <c r="L5" s="9">
        <f t="shared" ref="L5:L10" si="3">(ABS(H5-K5)+ABS(I5-K5)+ABS(J5-K5))/3</f>
        <v>7.5512000000000015</v>
      </c>
      <c r="M5" s="9"/>
      <c r="N5" s="10">
        <f>K5/E5</f>
        <v>2.3105254378648876</v>
      </c>
      <c r="O5" s="10">
        <f>(K5/E5)*SQRT((L5/K5)*(L5/K5)+(F5/E5)*(F5/E5))</f>
        <v>0.78888035226889375</v>
      </c>
      <c r="P5" s="9"/>
      <c r="Q5" s="9">
        <f t="shared" ref="Q5:Q10" si="4">K5/K$5</f>
        <v>1</v>
      </c>
      <c r="R5" s="5">
        <f t="shared" ref="R5:R10" si="5">ABS(Q5-(K5+L5)/(K$5+L$5))</f>
        <v>0</v>
      </c>
      <c r="S5" s="5">
        <f t="shared" ref="S5:S10" si="6">ABS(Q5-(K5-L5)/(K$5-L$5))</f>
        <v>0</v>
      </c>
      <c r="T5" s="5"/>
    </row>
    <row r="6" spans="1:20" x14ac:dyDescent="0.3">
      <c r="A6" t="s">
        <v>54</v>
      </c>
      <c r="B6" s="9">
        <v>31.401</v>
      </c>
      <c r="C6" s="9">
        <v>36.502000000000002</v>
      </c>
      <c r="D6" s="9">
        <v>28.283000000000001</v>
      </c>
      <c r="E6" s="9">
        <f t="shared" si="0"/>
        <v>32.062000000000005</v>
      </c>
      <c r="F6" s="9">
        <f t="shared" si="1"/>
        <v>2.9600000000000022</v>
      </c>
      <c r="G6" s="9"/>
      <c r="H6" s="9">
        <v>70.97</v>
      </c>
      <c r="I6" s="9">
        <v>148.04</v>
      </c>
      <c r="J6" s="9">
        <v>130.05000000000001</v>
      </c>
      <c r="K6" s="9">
        <f t="shared" si="2"/>
        <v>116.35333333333334</v>
      </c>
      <c r="L6" s="9">
        <f t="shared" si="3"/>
        <v>30.255555555555556</v>
      </c>
      <c r="M6" s="9"/>
      <c r="N6" s="10">
        <f t="shared" ref="N6:N10" si="7">K6/E6</f>
        <v>3.6290104589025427</v>
      </c>
      <c r="O6" s="10">
        <f t="shared" ref="O6:O10" si="8">(K6/E6)*SQRT((L6/K6)*(L6/K6)+(F6/E6)*(F6/E6))</f>
        <v>1.0013680655370529</v>
      </c>
      <c r="P6" s="9"/>
      <c r="Q6" s="9">
        <f t="shared" si="4"/>
        <v>1.7999983498554062</v>
      </c>
      <c r="R6" s="5">
        <f t="shared" si="5"/>
        <v>0.23082070057800563</v>
      </c>
      <c r="S6" s="5">
        <f t="shared" si="6"/>
        <v>0.29188167400239995</v>
      </c>
      <c r="T6" s="5"/>
    </row>
    <row r="7" spans="1:20" x14ac:dyDescent="0.3">
      <c r="A7" t="s">
        <v>55</v>
      </c>
      <c r="B7" s="9">
        <v>19.89</v>
      </c>
      <c r="C7" s="9">
        <v>24.17</v>
      </c>
      <c r="D7" s="9">
        <v>43.59</v>
      </c>
      <c r="E7" s="9">
        <f t="shared" si="0"/>
        <v>29.216666666666669</v>
      </c>
      <c r="F7" s="9">
        <f t="shared" si="1"/>
        <v>9.5822222222222226</v>
      </c>
      <c r="G7" s="9"/>
      <c r="H7" s="9">
        <v>101.89</v>
      </c>
      <c r="I7" s="9">
        <v>150.74</v>
      </c>
      <c r="J7" s="9">
        <v>151.79</v>
      </c>
      <c r="K7" s="9">
        <f t="shared" si="2"/>
        <v>134.80666666666664</v>
      </c>
      <c r="L7" s="9">
        <f t="shared" si="3"/>
        <v>21.944444444444454</v>
      </c>
      <c r="M7" s="9"/>
      <c r="N7" s="10">
        <f t="shared" si="7"/>
        <v>4.6140330861380479</v>
      </c>
      <c r="O7" s="10">
        <f t="shared" si="8"/>
        <v>1.6894158166107933</v>
      </c>
      <c r="P7" s="9"/>
      <c r="Q7" s="9">
        <f t="shared" si="4"/>
        <v>2.085473364603573</v>
      </c>
      <c r="R7" s="5">
        <f t="shared" si="5"/>
        <v>8.5835244537482591E-2</v>
      </c>
      <c r="S7" s="5">
        <f t="shared" si="6"/>
        <v>0.10854197566018953</v>
      </c>
      <c r="T7" s="5"/>
    </row>
    <row r="8" spans="1:20" x14ac:dyDescent="0.3">
      <c r="A8" t="s">
        <v>56</v>
      </c>
      <c r="B8" s="9">
        <v>0.35599999999999998</v>
      </c>
      <c r="C8" s="9">
        <v>1.1000000000000001</v>
      </c>
      <c r="D8" s="9">
        <v>0.624</v>
      </c>
      <c r="E8" s="9">
        <f t="shared" si="0"/>
        <v>0.69333333333333336</v>
      </c>
      <c r="F8" s="9">
        <f t="shared" si="1"/>
        <v>0.27111111111111114</v>
      </c>
      <c r="G8" s="9"/>
      <c r="H8" s="9">
        <v>3.02</v>
      </c>
      <c r="I8" s="9">
        <v>5.82</v>
      </c>
      <c r="J8" s="9">
        <v>6.16</v>
      </c>
      <c r="K8" s="9">
        <f t="shared" si="2"/>
        <v>5</v>
      </c>
      <c r="L8" s="9">
        <f t="shared" si="3"/>
        <v>1.32</v>
      </c>
      <c r="M8" s="9"/>
      <c r="N8" s="10">
        <f t="shared" si="7"/>
        <v>7.2115384615384617</v>
      </c>
      <c r="O8" s="10">
        <f t="shared" si="8"/>
        <v>3.4024176940183017</v>
      </c>
      <c r="P8" s="9"/>
      <c r="Q8" s="9">
        <f t="shared" si="4"/>
        <v>7.7350527840001987E-2</v>
      </c>
      <c r="R8" s="5">
        <f t="shared" si="5"/>
        <v>1.0193798401132756E-2</v>
      </c>
      <c r="S8" s="5">
        <f t="shared" si="6"/>
        <v>1.2890451048432242E-2</v>
      </c>
      <c r="T8" s="5"/>
    </row>
    <row r="9" spans="1:20" x14ac:dyDescent="0.3">
      <c r="A9" t="s">
        <v>57</v>
      </c>
      <c r="B9" s="9">
        <v>0.36</v>
      </c>
      <c r="C9" s="9">
        <v>1.07</v>
      </c>
      <c r="D9" s="9">
        <v>0.5</v>
      </c>
      <c r="E9" s="9">
        <f t="shared" si="0"/>
        <v>0.64333333333333342</v>
      </c>
      <c r="F9" s="9">
        <f t="shared" si="1"/>
        <v>0.2844444444444445</v>
      </c>
      <c r="G9" s="9"/>
      <c r="H9" s="9">
        <v>4.97</v>
      </c>
      <c r="I9" s="9">
        <v>9.27</v>
      </c>
      <c r="J9" s="9">
        <v>7.46</v>
      </c>
      <c r="K9" s="9">
        <f t="shared" si="2"/>
        <v>7.2333333333333334</v>
      </c>
      <c r="L9" s="9">
        <f t="shared" si="3"/>
        <v>1.5088888888888887</v>
      </c>
      <c r="M9" s="9"/>
      <c r="N9" s="10">
        <f t="shared" si="7"/>
        <v>11.243523316062175</v>
      </c>
      <c r="O9" s="10">
        <f t="shared" si="8"/>
        <v>5.4967384857954302</v>
      </c>
      <c r="P9" s="9"/>
      <c r="Q9" s="9">
        <f t="shared" si="4"/>
        <v>0.11190043027520287</v>
      </c>
      <c r="R9" s="5">
        <f t="shared" si="5"/>
        <v>9.1963979359870329E-3</v>
      </c>
      <c r="S9" s="5">
        <f t="shared" si="6"/>
        <v>1.1629199710538815E-2</v>
      </c>
      <c r="T9" s="5"/>
    </row>
    <row r="10" spans="1:20" x14ac:dyDescent="0.3">
      <c r="A10" t="s">
        <v>58</v>
      </c>
      <c r="B10" s="9">
        <v>2.9000000000000001E-2</v>
      </c>
      <c r="C10" s="9">
        <v>8.6999999999999994E-2</v>
      </c>
      <c r="D10" s="9">
        <v>6.4299999999999996E-2</v>
      </c>
      <c r="E10" s="9">
        <f t="shared" si="0"/>
        <v>6.0099999999999994E-2</v>
      </c>
      <c r="F10" s="9">
        <f t="shared" si="1"/>
        <v>2.0733333333333333E-2</v>
      </c>
      <c r="G10" s="9"/>
      <c r="H10" s="9">
        <v>2.2599999999999998</v>
      </c>
      <c r="I10" s="9">
        <v>0.51</v>
      </c>
      <c r="J10" s="9">
        <v>1.61</v>
      </c>
      <c r="K10" s="9">
        <f t="shared" si="2"/>
        <v>1.46</v>
      </c>
      <c r="L10" s="9">
        <f t="shared" si="3"/>
        <v>0.6333333333333333</v>
      </c>
      <c r="M10" s="9"/>
      <c r="N10" s="10">
        <f t="shared" si="7"/>
        <v>24.292845257903497</v>
      </c>
      <c r="O10" s="10">
        <f t="shared" si="8"/>
        <v>13.46414003628054</v>
      </c>
      <c r="P10" s="9"/>
      <c r="Q10" s="9">
        <f t="shared" si="4"/>
        <v>2.2586354129280579E-2</v>
      </c>
      <c r="R10" s="5">
        <f t="shared" si="5"/>
        <v>6.4103952797028678E-3</v>
      </c>
      <c r="S10" s="5">
        <f t="shared" si="6"/>
        <v>8.1061919514641874E-3</v>
      </c>
      <c r="T10" s="5"/>
    </row>
    <row r="11" spans="1:20" x14ac:dyDescent="0.3">
      <c r="N11" s="9"/>
      <c r="O11" s="9"/>
    </row>
    <row r="12" spans="1:20" x14ac:dyDescent="0.3">
      <c r="N12" s="9"/>
      <c r="O12" s="9"/>
    </row>
    <row r="13" spans="1:20" x14ac:dyDescent="0.3">
      <c r="B13" s="208"/>
      <c r="C13" s="208"/>
      <c r="D13" s="208"/>
      <c r="E13" s="208"/>
      <c r="F13" s="208"/>
      <c r="G13" s="164"/>
      <c r="H13" s="208"/>
      <c r="I13" s="208"/>
      <c r="J13" s="208"/>
      <c r="K13" s="208"/>
      <c r="L13" s="208"/>
      <c r="M13" s="185"/>
      <c r="N13" s="9"/>
      <c r="O13" s="9"/>
    </row>
    <row r="14" spans="1:20" x14ac:dyDescent="0.3">
      <c r="B14" s="209"/>
      <c r="C14" s="210"/>
      <c r="D14" s="210"/>
      <c r="E14" s="207"/>
      <c r="F14" s="207"/>
      <c r="G14" s="164"/>
      <c r="H14" s="209"/>
      <c r="I14" s="210"/>
      <c r="J14" s="210"/>
      <c r="K14" s="207"/>
      <c r="L14" s="207"/>
      <c r="M14" s="184"/>
      <c r="N14" s="9"/>
      <c r="O14" s="9"/>
    </row>
    <row r="15" spans="1:20" x14ac:dyDescent="0.3">
      <c r="B15" s="165"/>
      <c r="C15" s="165"/>
      <c r="D15" s="165"/>
      <c r="E15" s="207"/>
      <c r="F15" s="207"/>
      <c r="G15" s="164"/>
      <c r="H15" s="165"/>
      <c r="I15" s="165"/>
      <c r="J15" s="165"/>
      <c r="K15" s="207"/>
      <c r="L15" s="207"/>
      <c r="M15" s="184"/>
      <c r="N15" s="9"/>
      <c r="O15" s="9"/>
    </row>
    <row r="16" spans="1:20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3"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3"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3"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3"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3"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3">
      <c r="N22" s="9"/>
      <c r="O22" s="9"/>
    </row>
    <row r="23" spans="2:15" x14ac:dyDescent="0.3">
      <c r="N23" s="9"/>
      <c r="O23" s="9"/>
    </row>
    <row r="24" spans="2:15" x14ac:dyDescent="0.3">
      <c r="B24" s="209"/>
      <c r="C24" s="210"/>
      <c r="D24" s="210"/>
      <c r="E24" s="207"/>
      <c r="F24" s="207"/>
      <c r="G24" s="164"/>
      <c r="H24" s="209"/>
      <c r="I24" s="210"/>
      <c r="J24" s="210"/>
      <c r="K24" s="207"/>
      <c r="L24" s="207"/>
      <c r="M24" s="184"/>
      <c r="N24" s="9"/>
      <c r="O24" s="9"/>
    </row>
    <row r="25" spans="2:15" x14ac:dyDescent="0.3">
      <c r="B25" s="165"/>
      <c r="C25" s="165"/>
      <c r="D25" s="165"/>
      <c r="E25" s="207"/>
      <c r="F25" s="207"/>
      <c r="G25" s="164"/>
      <c r="H25" s="165"/>
      <c r="I25" s="165"/>
      <c r="J25" s="165"/>
      <c r="K25" s="207"/>
      <c r="L25" s="207"/>
      <c r="M25" s="184"/>
      <c r="N25" s="9"/>
      <c r="O25" s="9"/>
    </row>
    <row r="26" spans="2:15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3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3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3">
      <c r="N32" s="9"/>
      <c r="O32" s="9"/>
    </row>
    <row r="33" spans="2:15" x14ac:dyDescent="0.3">
      <c r="N33" s="9"/>
      <c r="O33" s="9"/>
    </row>
    <row r="34" spans="2:15" x14ac:dyDescent="0.3">
      <c r="B34" s="209"/>
      <c r="C34" s="210"/>
      <c r="D34" s="210"/>
      <c r="E34" s="207"/>
      <c r="F34" s="207"/>
      <c r="G34" s="164"/>
      <c r="H34" s="209"/>
      <c r="I34" s="210"/>
      <c r="J34" s="210"/>
      <c r="K34" s="207"/>
      <c r="L34" s="207"/>
      <c r="M34" s="184"/>
      <c r="N34" s="9"/>
      <c r="O34" s="9"/>
    </row>
    <row r="35" spans="2:15" x14ac:dyDescent="0.3">
      <c r="B35" s="165"/>
      <c r="C35" s="165"/>
      <c r="D35" s="165"/>
      <c r="E35" s="207"/>
      <c r="F35" s="207"/>
      <c r="G35" s="164"/>
      <c r="H35" s="165"/>
      <c r="I35" s="165"/>
      <c r="J35" s="165"/>
      <c r="K35" s="207"/>
      <c r="L35" s="207"/>
      <c r="M35" s="184"/>
      <c r="N35" s="9"/>
      <c r="O35" s="9"/>
    </row>
    <row r="36" spans="2:15" x14ac:dyDescent="0.3">
      <c r="B36" s="5"/>
      <c r="C36" s="5"/>
      <c r="D36" s="5"/>
      <c r="E36" s="5"/>
      <c r="F36" s="5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3">
      <c r="B37" s="5"/>
      <c r="C37" s="5"/>
      <c r="D37" s="5"/>
      <c r="E37" s="5"/>
      <c r="F37" s="5"/>
      <c r="G37" s="13"/>
      <c r="H37" s="9"/>
      <c r="I37" s="9"/>
      <c r="J37" s="9"/>
      <c r="K37" s="9"/>
      <c r="L37" s="9"/>
      <c r="M37" s="9"/>
      <c r="N37" s="9"/>
      <c r="O37" s="9"/>
    </row>
    <row r="38" spans="2:15" x14ac:dyDescent="0.3">
      <c r="B38" s="5"/>
      <c r="C38" s="5"/>
      <c r="D38" s="5"/>
      <c r="E38" s="5"/>
      <c r="F38" s="5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3">
      <c r="B39" s="5"/>
      <c r="C39" s="5"/>
      <c r="D39" s="5"/>
      <c r="E39" s="5"/>
      <c r="F39" s="5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3">
      <c r="B40" s="5"/>
      <c r="C40" s="5"/>
      <c r="D40" s="5"/>
      <c r="E40" s="5"/>
      <c r="F40" s="5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3">
      <c r="B41" s="5"/>
      <c r="C41" s="5"/>
      <c r="D41" s="5"/>
      <c r="E41" s="5"/>
      <c r="F41" s="5"/>
      <c r="G41" s="9"/>
      <c r="H41" s="9"/>
      <c r="I41" s="9"/>
      <c r="J41" s="9"/>
      <c r="K41" s="9"/>
      <c r="L41" s="9"/>
      <c r="M41" s="9"/>
      <c r="N41" s="9"/>
      <c r="O41" s="9"/>
    </row>
  </sheetData>
  <mergeCells count="34">
    <mergeCell ref="A2:A4"/>
    <mergeCell ref="B2:F2"/>
    <mergeCell ref="H2:L2"/>
    <mergeCell ref="Q2:Q4"/>
    <mergeCell ref="R2:R4"/>
    <mergeCell ref="N2:N4"/>
    <mergeCell ref="O2:O4"/>
    <mergeCell ref="S2:S4"/>
    <mergeCell ref="B3:D3"/>
    <mergeCell ref="E3:E4"/>
    <mergeCell ref="F3:F4"/>
    <mergeCell ref="H3:J3"/>
    <mergeCell ref="K3:K4"/>
    <mergeCell ref="L3:L4"/>
    <mergeCell ref="B13:F13"/>
    <mergeCell ref="H13:L13"/>
    <mergeCell ref="B14:D14"/>
    <mergeCell ref="E14:E15"/>
    <mergeCell ref="F14:F15"/>
    <mergeCell ref="H14:J14"/>
    <mergeCell ref="K14:K15"/>
    <mergeCell ref="L14:L15"/>
    <mergeCell ref="L24:L25"/>
    <mergeCell ref="L34:L35"/>
    <mergeCell ref="B24:D24"/>
    <mergeCell ref="E24:E25"/>
    <mergeCell ref="F24:F25"/>
    <mergeCell ref="H24:J24"/>
    <mergeCell ref="K24:K25"/>
    <mergeCell ref="B34:D34"/>
    <mergeCell ref="E34:E35"/>
    <mergeCell ref="F34:F35"/>
    <mergeCell ref="H34:J34"/>
    <mergeCell ref="K34:K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J29" sqref="J29"/>
    </sheetView>
  </sheetViews>
  <sheetFormatPr defaultRowHeight="14.4" x14ac:dyDescent="0.3"/>
  <cols>
    <col min="1" max="1" width="19.88671875" bestFit="1" customWidth="1"/>
    <col min="2" max="4" width="10.44140625" bestFit="1" customWidth="1"/>
    <col min="8" max="10" width="10.44140625" bestFit="1" customWidth="1"/>
    <col min="14" max="14" width="14.109375" bestFit="1" customWidth="1"/>
    <col min="15" max="15" width="14.109375" customWidth="1"/>
    <col min="17" max="17" width="33.33203125" bestFit="1" customWidth="1"/>
    <col min="18" max="18" width="18.44140625" bestFit="1" customWidth="1"/>
    <col min="19" max="19" width="19.33203125" bestFit="1" customWidth="1"/>
  </cols>
  <sheetData>
    <row r="1" spans="1:20" x14ac:dyDescent="0.3">
      <c r="A1" s="1" t="s">
        <v>332</v>
      </c>
      <c r="B1" s="9"/>
      <c r="C1" s="9"/>
      <c r="D1" s="9"/>
      <c r="F1" s="9"/>
      <c r="G1" s="9"/>
      <c r="H1" s="9"/>
      <c r="I1" s="9"/>
      <c r="J1" s="9"/>
      <c r="L1" s="9"/>
      <c r="M1" s="9"/>
      <c r="N1" s="9"/>
      <c r="O1" s="9"/>
      <c r="P1" s="9"/>
      <c r="Q1" s="9"/>
    </row>
    <row r="2" spans="1:20" x14ac:dyDescent="0.3">
      <c r="A2" s="207" t="s">
        <v>59</v>
      </c>
      <c r="B2" s="208" t="s">
        <v>12</v>
      </c>
      <c r="C2" s="208"/>
      <c r="D2" s="208"/>
      <c r="E2" s="208"/>
      <c r="F2" s="208"/>
      <c r="G2" s="2"/>
      <c r="H2" s="208" t="s">
        <v>13</v>
      </c>
      <c r="I2" s="208"/>
      <c r="J2" s="208"/>
      <c r="K2" s="208"/>
      <c r="L2" s="208"/>
      <c r="M2" s="185"/>
      <c r="N2" s="207" t="s">
        <v>20</v>
      </c>
      <c r="O2" s="207" t="s">
        <v>5</v>
      </c>
      <c r="P2" s="4"/>
      <c r="Q2" s="207" t="s">
        <v>53</v>
      </c>
      <c r="R2" s="213" t="s">
        <v>21</v>
      </c>
      <c r="S2" s="213" t="s">
        <v>22</v>
      </c>
      <c r="T2" s="12"/>
    </row>
    <row r="3" spans="1:20" x14ac:dyDescent="0.3">
      <c r="A3" s="207"/>
      <c r="B3" s="209" t="s">
        <v>3</v>
      </c>
      <c r="C3" s="210"/>
      <c r="D3" s="210"/>
      <c r="E3" s="207" t="s">
        <v>4</v>
      </c>
      <c r="F3" s="207" t="s">
        <v>5</v>
      </c>
      <c r="G3" s="2"/>
      <c r="H3" s="209" t="s">
        <v>3</v>
      </c>
      <c r="I3" s="210"/>
      <c r="J3" s="210"/>
      <c r="K3" s="207" t="s">
        <v>4</v>
      </c>
      <c r="L3" s="207" t="s">
        <v>5</v>
      </c>
      <c r="M3" s="184"/>
      <c r="N3" s="207"/>
      <c r="O3" s="207"/>
      <c r="P3" s="4"/>
      <c r="Q3" s="207"/>
      <c r="R3" s="213"/>
      <c r="S3" s="213"/>
      <c r="T3" s="12"/>
    </row>
    <row r="4" spans="1:20" x14ac:dyDescent="0.3">
      <c r="A4" s="207"/>
      <c r="B4" s="3" t="s">
        <v>7</v>
      </c>
      <c r="C4" s="3" t="s">
        <v>8</v>
      </c>
      <c r="D4" s="3" t="s">
        <v>9</v>
      </c>
      <c r="E4" s="207"/>
      <c r="F4" s="207"/>
      <c r="G4" s="2"/>
      <c r="H4" s="3" t="s">
        <v>7</v>
      </c>
      <c r="I4" s="3" t="s">
        <v>8</v>
      </c>
      <c r="J4" s="3" t="s">
        <v>9</v>
      </c>
      <c r="K4" s="207"/>
      <c r="L4" s="207"/>
      <c r="M4" s="184"/>
      <c r="N4" s="207"/>
      <c r="O4" s="207"/>
      <c r="P4" s="4"/>
      <c r="Q4" s="207"/>
      <c r="R4" s="213"/>
      <c r="S4" s="213"/>
      <c r="T4" s="12"/>
    </row>
    <row r="5" spans="1:20" x14ac:dyDescent="0.3">
      <c r="A5" t="s">
        <v>23</v>
      </c>
      <c r="B5" s="9">
        <v>14.086</v>
      </c>
      <c r="C5" s="9">
        <v>22.29</v>
      </c>
      <c r="D5" s="9">
        <v>16.64</v>
      </c>
      <c r="E5" s="9">
        <f t="shared" ref="E5:E10" si="0">(B5+C5+D5)/3</f>
        <v>17.672000000000001</v>
      </c>
      <c r="F5" s="9">
        <f t="shared" ref="F5:F10" si="1">(ABS(B5-E5)+ABS(C5-E5)+ABS(D5-E5))/3</f>
        <v>3.0786666666666664</v>
      </c>
      <c r="G5" s="9"/>
      <c r="H5" s="9">
        <v>9.92</v>
      </c>
      <c r="I5" s="9">
        <v>39.216999999999999</v>
      </c>
      <c r="J5" s="9">
        <v>27.172000000000001</v>
      </c>
      <c r="K5" s="9">
        <f t="shared" ref="K5:K10" si="2">(H5+I5+J5)/3</f>
        <v>25.436333333333334</v>
      </c>
      <c r="L5" s="9">
        <f t="shared" ref="L5:L10" si="3">(ABS(H5-K5)+ABS(I5-K5)+ABS(J5-K5))/3</f>
        <v>10.344222222222221</v>
      </c>
      <c r="M5" s="9"/>
      <c r="N5" s="10">
        <f>K5/E5</f>
        <v>1.4393579296816055</v>
      </c>
      <c r="O5" s="10">
        <f>(K5/E5)*SQRT((L5/K5)*(L5/K5)+(F5/E5)*(F5/E5))</f>
        <v>0.63679359807229419</v>
      </c>
      <c r="P5" s="9"/>
      <c r="Q5" s="9">
        <f t="shared" ref="Q5:Q10" si="4">K5/K$5</f>
        <v>1</v>
      </c>
      <c r="R5" s="5">
        <f t="shared" ref="R5:R10" si="5">ABS(Q5-(K5+L5)/(K$5+L$5))</f>
        <v>0</v>
      </c>
      <c r="S5" s="5">
        <f t="shared" ref="S5:S10" si="6">ABS(Q5-(K5-L5)/(K$5-L$5))</f>
        <v>0</v>
      </c>
      <c r="T5" s="5"/>
    </row>
    <row r="6" spans="1:20" x14ac:dyDescent="0.3">
      <c r="A6" t="s">
        <v>60</v>
      </c>
      <c r="B6">
        <v>18.43</v>
      </c>
      <c r="C6">
        <v>15.68</v>
      </c>
      <c r="D6">
        <v>13.82</v>
      </c>
      <c r="E6" s="9">
        <f t="shared" si="0"/>
        <v>15.976666666666667</v>
      </c>
      <c r="F6" s="9">
        <f t="shared" si="1"/>
        <v>1.6355555555555554</v>
      </c>
      <c r="G6" s="9"/>
      <c r="H6" s="9">
        <v>53.94</v>
      </c>
      <c r="I6" s="9">
        <v>64.510000000000005</v>
      </c>
      <c r="J6" s="9">
        <v>98.71</v>
      </c>
      <c r="K6" s="9">
        <f t="shared" si="2"/>
        <v>72.38666666666667</v>
      </c>
      <c r="L6" s="9">
        <f t="shared" si="3"/>
        <v>17.548888888888886</v>
      </c>
      <c r="M6" s="9"/>
      <c r="N6" s="10">
        <f t="shared" ref="N6:N10" si="7">K6/E6</f>
        <v>4.5307740454829961</v>
      </c>
      <c r="O6" s="10">
        <f t="shared" ref="O6:O10" si="8">(K6/E6)*SQRT((L6/K6)*(L6/K6)+(F6/E6)*(F6/E6))</f>
        <v>1.1923212015513232</v>
      </c>
      <c r="P6" s="9"/>
      <c r="Q6" s="9">
        <f t="shared" si="4"/>
        <v>2.8457980054777288</v>
      </c>
      <c r="R6" s="5">
        <f t="shared" si="5"/>
        <v>0.33226644736888611</v>
      </c>
      <c r="S6" s="5">
        <f t="shared" si="6"/>
        <v>0.78774122399462287</v>
      </c>
      <c r="T6" s="5"/>
    </row>
    <row r="7" spans="1:20" x14ac:dyDescent="0.3">
      <c r="A7" t="s">
        <v>61</v>
      </c>
      <c r="B7">
        <v>1.84</v>
      </c>
      <c r="C7">
        <v>1.458</v>
      </c>
      <c r="D7">
        <v>0.85</v>
      </c>
      <c r="E7" s="9">
        <f t="shared" si="0"/>
        <v>1.3826666666666665</v>
      </c>
      <c r="F7" s="9">
        <f t="shared" si="1"/>
        <v>0.35511111111111121</v>
      </c>
      <c r="G7" s="9"/>
      <c r="H7" s="9">
        <v>1.77</v>
      </c>
      <c r="I7" s="9">
        <v>1.25</v>
      </c>
      <c r="J7" s="9">
        <v>3.27</v>
      </c>
      <c r="K7" s="9">
        <f t="shared" si="2"/>
        <v>2.0966666666666667</v>
      </c>
      <c r="L7" s="9">
        <f t="shared" si="3"/>
        <v>0.78222222222222226</v>
      </c>
      <c r="M7" s="9"/>
      <c r="N7" s="10">
        <f t="shared" si="7"/>
        <v>1.5163934426229511</v>
      </c>
      <c r="O7" s="10">
        <f t="shared" si="8"/>
        <v>0.68682725349191487</v>
      </c>
      <c r="P7" s="9"/>
      <c r="Q7" s="9">
        <f t="shared" si="4"/>
        <v>8.2428022906865503E-2</v>
      </c>
      <c r="R7" s="5">
        <f t="shared" si="5"/>
        <v>1.9684312602541998E-3</v>
      </c>
      <c r="S7" s="5">
        <f t="shared" si="6"/>
        <v>4.6667801175254431E-3</v>
      </c>
      <c r="T7" s="5"/>
    </row>
    <row r="8" spans="1:20" x14ac:dyDescent="0.3">
      <c r="A8" t="s">
        <v>62</v>
      </c>
      <c r="B8">
        <v>2.72</v>
      </c>
      <c r="C8">
        <v>2.94</v>
      </c>
      <c r="D8">
        <v>3.78</v>
      </c>
      <c r="E8" s="9">
        <f t="shared" si="0"/>
        <v>3.1466666666666665</v>
      </c>
      <c r="F8" s="9">
        <f t="shared" si="1"/>
        <v>0.42222222222222205</v>
      </c>
      <c r="G8" s="9"/>
      <c r="H8" s="9">
        <v>4.1399999999999997</v>
      </c>
      <c r="I8" s="9">
        <v>3.14</v>
      </c>
      <c r="J8" s="9">
        <v>0.99</v>
      </c>
      <c r="K8" s="9">
        <f t="shared" si="2"/>
        <v>2.7566666666666664</v>
      </c>
      <c r="L8" s="9">
        <f t="shared" si="3"/>
        <v>1.1777777777777778</v>
      </c>
      <c r="M8" s="9"/>
      <c r="N8" s="10">
        <f t="shared" si="7"/>
        <v>0.87605932203389825</v>
      </c>
      <c r="O8" s="10">
        <f t="shared" si="8"/>
        <v>0.39231864403051181</v>
      </c>
      <c r="P8" s="9"/>
      <c r="Q8" s="9">
        <f t="shared" si="4"/>
        <v>0.10837515889344637</v>
      </c>
      <c r="R8" s="5">
        <f t="shared" si="5"/>
        <v>1.585247907267856E-3</v>
      </c>
      <c r="S8" s="5">
        <f t="shared" si="6"/>
        <v>3.7583244913673153E-3</v>
      </c>
      <c r="T8" s="5"/>
    </row>
    <row r="9" spans="1:20" x14ac:dyDescent="0.3">
      <c r="A9" t="s">
        <v>63</v>
      </c>
      <c r="B9">
        <v>2.0609999999999999</v>
      </c>
      <c r="C9">
        <v>2.2599999999999998</v>
      </c>
      <c r="D9">
        <v>1.46</v>
      </c>
      <c r="E9" s="9">
        <f t="shared" si="0"/>
        <v>1.9269999999999998</v>
      </c>
      <c r="F9" s="9">
        <f t="shared" si="1"/>
        <v>0.3113333333333333</v>
      </c>
      <c r="G9" s="9"/>
      <c r="H9" s="9">
        <v>2.63</v>
      </c>
      <c r="I9" s="9">
        <v>0.72</v>
      </c>
      <c r="J9" s="9">
        <v>1.9</v>
      </c>
      <c r="K9" s="9">
        <f t="shared" si="2"/>
        <v>1.75</v>
      </c>
      <c r="L9" s="9">
        <f t="shared" si="3"/>
        <v>0.68666666666666654</v>
      </c>
      <c r="M9" s="9"/>
      <c r="N9" s="10">
        <f t="shared" si="7"/>
        <v>0.90814737934613399</v>
      </c>
      <c r="O9" s="10">
        <f t="shared" si="8"/>
        <v>0.3853645637287087</v>
      </c>
      <c r="P9" s="9"/>
      <c r="Q9" s="9">
        <f t="shared" si="4"/>
        <v>6.8799224206843229E-2</v>
      </c>
      <c r="R9" s="5">
        <f t="shared" si="5"/>
        <v>6.9892143531927187E-4</v>
      </c>
      <c r="S9" s="5">
        <f t="shared" si="6"/>
        <v>1.6570112068018672E-3</v>
      </c>
      <c r="T9" s="5"/>
    </row>
    <row r="10" spans="1:20" x14ac:dyDescent="0.3">
      <c r="A10" t="s">
        <v>64</v>
      </c>
      <c r="B10">
        <v>1.23</v>
      </c>
      <c r="C10">
        <v>1.54</v>
      </c>
      <c r="D10">
        <v>1.98</v>
      </c>
      <c r="E10" s="9">
        <f t="shared" si="0"/>
        <v>1.5833333333333333</v>
      </c>
      <c r="F10" s="9">
        <f t="shared" si="1"/>
        <v>0.26444444444444443</v>
      </c>
      <c r="G10" s="9"/>
      <c r="H10" s="9">
        <v>2.77</v>
      </c>
      <c r="I10" s="9">
        <v>2.06</v>
      </c>
      <c r="J10" s="9">
        <v>0.73</v>
      </c>
      <c r="K10" s="9">
        <f t="shared" si="2"/>
        <v>1.8533333333333335</v>
      </c>
      <c r="L10" s="9">
        <f t="shared" si="3"/>
        <v>0.74888888888888883</v>
      </c>
      <c r="M10" s="9"/>
      <c r="N10" s="10">
        <f t="shared" si="7"/>
        <v>1.1705263157894739</v>
      </c>
      <c r="O10" s="10">
        <f t="shared" si="8"/>
        <v>0.51179296601354685</v>
      </c>
      <c r="P10" s="9"/>
      <c r="Q10" s="9">
        <f t="shared" si="4"/>
        <v>7.286165458858064E-2</v>
      </c>
      <c r="R10" s="5">
        <f t="shared" si="5"/>
        <v>1.3438186130790286E-4</v>
      </c>
      <c r="S10" s="5">
        <f t="shared" si="6"/>
        <v>3.1859410646976893E-4</v>
      </c>
      <c r="T10" s="5"/>
    </row>
    <row r="11" spans="1:20" x14ac:dyDescent="0.3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5"/>
      <c r="S11" s="5"/>
      <c r="T11" s="5"/>
    </row>
    <row r="13" spans="1:20" x14ac:dyDescent="0.3">
      <c r="T13" s="12"/>
    </row>
    <row r="14" spans="1:20" x14ac:dyDescent="0.3">
      <c r="T14" s="12"/>
    </row>
    <row r="15" spans="1:20" x14ac:dyDescent="0.3">
      <c r="T15" s="12"/>
    </row>
    <row r="16" spans="1:20" x14ac:dyDescent="0.3">
      <c r="T16" s="5"/>
    </row>
    <row r="17" spans="20:20" x14ac:dyDescent="0.3">
      <c r="T17" s="5"/>
    </row>
    <row r="18" spans="20:20" x14ac:dyDescent="0.3">
      <c r="T18" s="5"/>
    </row>
    <row r="19" spans="20:20" x14ac:dyDescent="0.3">
      <c r="T19" s="5"/>
    </row>
    <row r="20" spans="20:20" x14ac:dyDescent="0.3">
      <c r="T20" s="5"/>
    </row>
    <row r="21" spans="20:20" x14ac:dyDescent="0.3">
      <c r="T21" s="5"/>
    </row>
    <row r="22" spans="20:20" x14ac:dyDescent="0.3">
      <c r="T22" s="5"/>
    </row>
    <row r="24" spans="20:20" x14ac:dyDescent="0.3">
      <c r="T24" s="12"/>
    </row>
    <row r="25" spans="20:20" x14ac:dyDescent="0.3">
      <c r="T25" s="12"/>
    </row>
    <row r="26" spans="20:20" x14ac:dyDescent="0.3">
      <c r="T26" s="12"/>
    </row>
    <row r="27" spans="20:20" x14ac:dyDescent="0.3">
      <c r="T27" s="13"/>
    </row>
    <row r="28" spans="20:20" x14ac:dyDescent="0.3">
      <c r="T28" s="13"/>
    </row>
    <row r="29" spans="20:20" x14ac:dyDescent="0.3">
      <c r="T29" s="13"/>
    </row>
    <row r="30" spans="20:20" x14ac:dyDescent="0.3">
      <c r="T30" s="13"/>
    </row>
    <row r="31" spans="20:20" x14ac:dyDescent="0.3">
      <c r="T31" s="13"/>
    </row>
    <row r="32" spans="20:20" x14ac:dyDescent="0.3">
      <c r="T32" s="13"/>
    </row>
    <row r="33" spans="20:20" x14ac:dyDescent="0.3">
      <c r="T33" s="13"/>
    </row>
    <row r="34" spans="20:20" x14ac:dyDescent="0.3">
      <c r="T34" s="13"/>
    </row>
  </sheetData>
  <mergeCells count="14">
    <mergeCell ref="S2:S4"/>
    <mergeCell ref="B3:D3"/>
    <mergeCell ref="E3:E4"/>
    <mergeCell ref="F3:F4"/>
    <mergeCell ref="H3:J3"/>
    <mergeCell ref="K3:K4"/>
    <mergeCell ref="L3:L4"/>
    <mergeCell ref="N2:N4"/>
    <mergeCell ref="O2:O4"/>
    <mergeCell ref="A2:A4"/>
    <mergeCell ref="B2:F2"/>
    <mergeCell ref="H2:L2"/>
    <mergeCell ref="Q2:Q4"/>
    <mergeCell ref="R2:R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N5" activeCellId="1" sqref="A5:A10 N5:N10"/>
    </sheetView>
  </sheetViews>
  <sheetFormatPr defaultRowHeight="14.4" x14ac:dyDescent="0.3"/>
  <cols>
    <col min="1" max="1" width="19.88671875" bestFit="1" customWidth="1"/>
    <col min="2" max="4" width="10.44140625" bestFit="1" customWidth="1"/>
    <col min="8" max="10" width="10.44140625" bestFit="1" customWidth="1"/>
    <col min="14" max="14" width="14.109375" bestFit="1" customWidth="1"/>
    <col min="15" max="15" width="14.109375" customWidth="1"/>
    <col min="17" max="17" width="33.33203125" bestFit="1" customWidth="1"/>
    <col min="18" max="18" width="18.44140625" bestFit="1" customWidth="1"/>
    <col min="19" max="19" width="19.33203125" bestFit="1" customWidth="1"/>
  </cols>
  <sheetData>
    <row r="1" spans="1:19" x14ac:dyDescent="0.3">
      <c r="A1" s="1" t="s">
        <v>331</v>
      </c>
      <c r="B1" s="9"/>
      <c r="C1" s="9"/>
      <c r="D1" s="9"/>
      <c r="F1" s="9"/>
      <c r="G1" s="9"/>
      <c r="H1" s="9"/>
      <c r="I1" s="9"/>
      <c r="J1" s="9"/>
      <c r="L1" s="9"/>
      <c r="M1" s="9"/>
      <c r="N1" s="9"/>
      <c r="O1" s="9"/>
      <c r="P1" s="9"/>
      <c r="Q1" s="9"/>
    </row>
    <row r="2" spans="1:19" x14ac:dyDescent="0.3">
      <c r="A2" s="207" t="s">
        <v>65</v>
      </c>
      <c r="B2" s="208" t="s">
        <v>12</v>
      </c>
      <c r="C2" s="208"/>
      <c r="D2" s="208"/>
      <c r="E2" s="208"/>
      <c r="F2" s="208"/>
      <c r="G2" s="2"/>
      <c r="H2" s="208" t="s">
        <v>13</v>
      </c>
      <c r="I2" s="208"/>
      <c r="J2" s="208"/>
      <c r="K2" s="208"/>
      <c r="L2" s="208"/>
      <c r="M2" s="185"/>
      <c r="N2" s="207" t="s">
        <v>20</v>
      </c>
      <c r="O2" s="207" t="s">
        <v>5</v>
      </c>
      <c r="P2" s="4"/>
      <c r="Q2" s="207" t="s">
        <v>53</v>
      </c>
      <c r="R2" s="213" t="s">
        <v>21</v>
      </c>
      <c r="S2" s="213" t="s">
        <v>22</v>
      </c>
    </row>
    <row r="3" spans="1:19" x14ac:dyDescent="0.3">
      <c r="A3" s="207"/>
      <c r="B3" s="209" t="s">
        <v>3</v>
      </c>
      <c r="C3" s="210"/>
      <c r="D3" s="210"/>
      <c r="E3" s="207" t="s">
        <v>4</v>
      </c>
      <c r="F3" s="207" t="s">
        <v>5</v>
      </c>
      <c r="G3" s="2"/>
      <c r="H3" s="209" t="s">
        <v>3</v>
      </c>
      <c r="I3" s="210"/>
      <c r="J3" s="210"/>
      <c r="K3" s="207" t="s">
        <v>4</v>
      </c>
      <c r="L3" s="207" t="s">
        <v>5</v>
      </c>
      <c r="M3" s="184"/>
      <c r="N3" s="207"/>
      <c r="O3" s="207"/>
      <c r="P3" s="4"/>
      <c r="Q3" s="207"/>
      <c r="R3" s="213"/>
      <c r="S3" s="213"/>
    </row>
    <row r="4" spans="1:19" x14ac:dyDescent="0.3">
      <c r="A4" s="207"/>
      <c r="B4" s="3" t="s">
        <v>7</v>
      </c>
      <c r="C4" s="3" t="s">
        <v>8</v>
      </c>
      <c r="D4" s="3" t="s">
        <v>9</v>
      </c>
      <c r="E4" s="207"/>
      <c r="F4" s="207"/>
      <c r="G4" s="2"/>
      <c r="H4" s="3" t="s">
        <v>7</v>
      </c>
      <c r="I4" s="3" t="s">
        <v>8</v>
      </c>
      <c r="J4" s="3" t="s">
        <v>9</v>
      </c>
      <c r="K4" s="207"/>
      <c r="L4" s="207"/>
      <c r="M4" s="184"/>
      <c r="N4" s="207"/>
      <c r="O4" s="207"/>
      <c r="P4" s="4"/>
      <c r="Q4" s="207"/>
      <c r="R4" s="213"/>
      <c r="S4" s="213"/>
    </row>
    <row r="5" spans="1:19" x14ac:dyDescent="0.3">
      <c r="A5" t="s">
        <v>23</v>
      </c>
      <c r="B5" s="9">
        <v>1.76</v>
      </c>
      <c r="C5" s="9">
        <v>1.39</v>
      </c>
      <c r="D5" s="9">
        <v>1.34</v>
      </c>
      <c r="E5" s="9">
        <v>1.499372197309417</v>
      </c>
      <c r="F5" s="9">
        <f t="shared" ref="F5:F10" si="0">(ABS(B5-E5)+ABS(C5-E5)+ABS(D5-E5))/3</f>
        <v>0.17645739910313898</v>
      </c>
      <c r="G5" s="9"/>
      <c r="H5" s="9">
        <v>1.238</v>
      </c>
      <c r="I5" s="9">
        <v>4.1040000000000001</v>
      </c>
      <c r="J5" s="9">
        <v>2.21</v>
      </c>
      <c r="K5" s="9">
        <f t="shared" ref="K5:K10" si="1">(H5+I5+J5)/3</f>
        <v>2.5173333333333336</v>
      </c>
      <c r="L5" s="9">
        <f t="shared" ref="L5:L10" si="2">(ABS(H5-K5)+ABS(I5-K5)+ABS(J5-K5))/3</f>
        <v>1.0577777777777779</v>
      </c>
      <c r="M5" s="9"/>
      <c r="N5" s="10">
        <f>K5/E5</f>
        <v>1.6789249112732787</v>
      </c>
      <c r="O5" s="10">
        <f>(K5/E5)*SQRT((L5/K5)*(L5/K5)+(F5/E5)*(F5/E5))</f>
        <v>0.73262807129736851</v>
      </c>
      <c r="P5" s="9"/>
      <c r="Q5" s="9">
        <f t="shared" ref="Q5:Q10" si="3">K5/K$5</f>
        <v>1</v>
      </c>
      <c r="R5" s="5">
        <f t="shared" ref="R5:R10" si="4">ABS(Q5-(K5+L5)/(K$5+L$5))</f>
        <v>0</v>
      </c>
      <c r="S5" s="5">
        <f t="shared" ref="S5:S10" si="5">ABS(Q5-(K5-L5)/(K$5-L$5))</f>
        <v>0</v>
      </c>
    </row>
    <row r="6" spans="1:19" x14ac:dyDescent="0.3">
      <c r="A6" t="s">
        <v>66</v>
      </c>
      <c r="B6" s="9">
        <v>4.91</v>
      </c>
      <c r="C6" s="9">
        <v>4.32</v>
      </c>
      <c r="D6" s="9">
        <v>5.76</v>
      </c>
      <c r="E6" s="9">
        <f>(B6+C6+D6)/3</f>
        <v>4.996666666666667</v>
      </c>
      <c r="F6" s="9">
        <f t="shared" si="0"/>
        <v>0.50888888888888884</v>
      </c>
      <c r="G6" s="9"/>
      <c r="H6" s="9">
        <v>20.83</v>
      </c>
      <c r="I6" s="9">
        <v>38.44</v>
      </c>
      <c r="J6" s="9">
        <v>24.53</v>
      </c>
      <c r="K6" s="9">
        <f t="shared" si="1"/>
        <v>27.933333333333334</v>
      </c>
      <c r="L6" s="9">
        <f t="shared" si="2"/>
        <v>7.0044444444444443</v>
      </c>
      <c r="M6" s="9"/>
      <c r="N6" s="10">
        <f t="shared" ref="N6:N10" si="6">K6/E6</f>
        <v>5.5903935957304869</v>
      </c>
      <c r="O6" s="10">
        <f t="shared" ref="O6:O10" si="7">(K6/E6)*SQRT((L6/K6)*(L6/K6)+(F6/E6)*(F6/E6))</f>
        <v>1.513035627379588</v>
      </c>
      <c r="P6" s="9"/>
      <c r="Q6" s="9">
        <f t="shared" si="3"/>
        <v>11.096398305084744</v>
      </c>
      <c r="R6" s="5">
        <f t="shared" si="4"/>
        <v>1.3238970619221408</v>
      </c>
      <c r="S6" s="5">
        <f t="shared" si="5"/>
        <v>3.2428221577654366</v>
      </c>
    </row>
    <row r="7" spans="1:19" x14ac:dyDescent="0.3">
      <c r="A7" t="s">
        <v>67</v>
      </c>
      <c r="B7" s="9">
        <v>16.55</v>
      </c>
      <c r="C7" s="9">
        <v>13.76</v>
      </c>
      <c r="D7" s="9">
        <v>12.797000000000001</v>
      </c>
      <c r="E7" s="9">
        <f>(B7+C7+D7)/3</f>
        <v>14.369</v>
      </c>
      <c r="F7" s="9">
        <f t="shared" si="0"/>
        <v>1.454</v>
      </c>
      <c r="G7" s="9"/>
      <c r="H7" s="9">
        <v>1.1499999999999999</v>
      </c>
      <c r="I7" s="9">
        <v>3.34</v>
      </c>
      <c r="J7" s="9">
        <v>0.83</v>
      </c>
      <c r="K7" s="9">
        <f t="shared" si="1"/>
        <v>1.7733333333333334</v>
      </c>
      <c r="L7" s="9">
        <f t="shared" si="2"/>
        <v>1.0444444444444445</v>
      </c>
      <c r="M7" s="9"/>
      <c r="N7" s="10">
        <f t="shared" si="6"/>
        <v>0.12341383070035029</v>
      </c>
      <c r="O7" s="10">
        <f t="shared" si="7"/>
        <v>7.3752331691879267E-2</v>
      </c>
      <c r="P7" s="9"/>
      <c r="Q7" s="9">
        <f t="shared" si="3"/>
        <v>0.70444915254237284</v>
      </c>
      <c r="R7" s="5">
        <f t="shared" si="4"/>
        <v>8.3715939451659893E-2</v>
      </c>
      <c r="S7" s="5">
        <f t="shared" si="5"/>
        <v>0.20505816594066761</v>
      </c>
    </row>
    <row r="8" spans="1:19" x14ac:dyDescent="0.3">
      <c r="A8" t="s">
        <v>68</v>
      </c>
      <c r="B8" s="9">
        <v>3.95</v>
      </c>
      <c r="C8" s="9">
        <v>4.2300000000000004</v>
      </c>
      <c r="D8" s="9">
        <v>4.681</v>
      </c>
      <c r="E8" s="9">
        <f>(B8+C8+D8)/3</f>
        <v>4.2869999999999999</v>
      </c>
      <c r="F8" s="9">
        <f t="shared" si="0"/>
        <v>0.26266666666666644</v>
      </c>
      <c r="G8" s="9"/>
      <c r="H8" s="9">
        <v>12.8</v>
      </c>
      <c r="I8" s="9">
        <v>26.54</v>
      </c>
      <c r="J8" s="9">
        <v>31.04</v>
      </c>
      <c r="K8" s="9">
        <f t="shared" si="1"/>
        <v>23.459999999999997</v>
      </c>
      <c r="L8" s="9">
        <f t="shared" si="2"/>
        <v>7.1066666666666665</v>
      </c>
      <c r="M8" s="9"/>
      <c r="N8" s="10">
        <f t="shared" si="6"/>
        <v>5.4723582925122454</v>
      </c>
      <c r="O8" s="10">
        <f t="shared" si="7"/>
        <v>1.6912935998825764</v>
      </c>
      <c r="P8" s="9"/>
      <c r="Q8" s="9">
        <f t="shared" si="3"/>
        <v>9.3193855932203373</v>
      </c>
      <c r="R8" s="5">
        <f t="shared" si="4"/>
        <v>0.76953477273301907</v>
      </c>
      <c r="S8" s="5">
        <f t="shared" si="5"/>
        <v>1.8849384019075526</v>
      </c>
    </row>
    <row r="9" spans="1:19" x14ac:dyDescent="0.3">
      <c r="A9" t="s">
        <v>69</v>
      </c>
      <c r="B9" s="9">
        <v>0.31</v>
      </c>
      <c r="C9" s="9">
        <v>0.41</v>
      </c>
      <c r="D9" s="9">
        <v>0.24099999999999999</v>
      </c>
      <c r="E9" s="9">
        <f>(B9+C9+D9)/3</f>
        <v>0.3203333333333333</v>
      </c>
      <c r="F9" s="9">
        <f t="shared" si="0"/>
        <v>5.9777777777777763E-2</v>
      </c>
      <c r="G9" s="9"/>
      <c r="H9" s="9">
        <v>6.9999999999999994E-5</v>
      </c>
      <c r="I9" s="9">
        <v>5.0000000000000002E-5</v>
      </c>
      <c r="J9" s="9">
        <v>9.0000000000000006E-5</v>
      </c>
      <c r="K9" s="9">
        <f t="shared" si="1"/>
        <v>7.0000000000000007E-5</v>
      </c>
      <c r="L9" s="9">
        <f t="shared" si="2"/>
        <v>1.3333333333333338E-5</v>
      </c>
      <c r="M9" s="9"/>
      <c r="N9" s="10">
        <f t="shared" si="6"/>
        <v>2.1852237252861607E-4</v>
      </c>
      <c r="O9" s="10">
        <f t="shared" si="7"/>
        <v>5.8270090818536871E-5</v>
      </c>
      <c r="P9" s="9"/>
      <c r="Q9" s="9">
        <f t="shared" si="3"/>
        <v>2.7807203389830507E-5</v>
      </c>
      <c r="R9" s="5">
        <f t="shared" si="4"/>
        <v>4.4979045335401046E-6</v>
      </c>
      <c r="S9" s="5">
        <f t="shared" si="5"/>
        <v>1.1017400751460597E-5</v>
      </c>
    </row>
    <row r="10" spans="1:19" x14ac:dyDescent="0.3">
      <c r="A10" t="s">
        <v>70</v>
      </c>
      <c r="B10" s="9">
        <v>1.69</v>
      </c>
      <c r="C10" s="9">
        <v>1.92</v>
      </c>
      <c r="D10" s="9">
        <v>1.22</v>
      </c>
      <c r="E10" s="9">
        <f>(B10+C10+D10)/3</f>
        <v>1.61</v>
      </c>
      <c r="F10" s="9">
        <f t="shared" si="0"/>
        <v>0.25999999999999995</v>
      </c>
      <c r="G10" s="9"/>
      <c r="H10" s="9">
        <v>1.21</v>
      </c>
      <c r="I10" s="9">
        <v>4.5199999999999996</v>
      </c>
      <c r="J10" s="9">
        <v>1.28</v>
      </c>
      <c r="K10" s="9">
        <f t="shared" si="1"/>
        <v>2.3366666666666664</v>
      </c>
      <c r="L10" s="9">
        <f t="shared" si="2"/>
        <v>1.4555555555555555</v>
      </c>
      <c r="M10" s="9"/>
      <c r="N10" s="10">
        <f t="shared" si="6"/>
        <v>1.4513457556935816</v>
      </c>
      <c r="O10" s="10">
        <f t="shared" si="7"/>
        <v>0.93395888671222094</v>
      </c>
      <c r="P10" s="9"/>
      <c r="Q10" s="9">
        <f t="shared" si="3"/>
        <v>0.92823093220338959</v>
      </c>
      <c r="R10" s="5">
        <f t="shared" si="4"/>
        <v>0.13249756108353206</v>
      </c>
      <c r="S10" s="5">
        <f t="shared" si="5"/>
        <v>0.32454640114370648</v>
      </c>
    </row>
    <row r="11" spans="1:19" x14ac:dyDescent="0.3">
      <c r="B11" s="9"/>
      <c r="C11" s="9"/>
      <c r="D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5"/>
      <c r="S11" s="5"/>
    </row>
  </sheetData>
  <mergeCells count="14">
    <mergeCell ref="A2:A4"/>
    <mergeCell ref="B2:F2"/>
    <mergeCell ref="H2:L2"/>
    <mergeCell ref="Q2:Q4"/>
    <mergeCell ref="O2:O4"/>
    <mergeCell ref="N2:N4"/>
    <mergeCell ref="R2:R4"/>
    <mergeCell ref="S2:S4"/>
    <mergeCell ref="B3:D3"/>
    <mergeCell ref="E3:E4"/>
    <mergeCell ref="F3:F4"/>
    <mergeCell ref="H3:J3"/>
    <mergeCell ref="K3:K4"/>
    <mergeCell ref="L3:L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N14" sqref="N14"/>
    </sheetView>
  </sheetViews>
  <sheetFormatPr defaultRowHeight="14.4" x14ac:dyDescent="0.3"/>
  <cols>
    <col min="1" max="1" width="19.88671875" bestFit="1" customWidth="1"/>
    <col min="2" max="4" width="10.44140625" bestFit="1" customWidth="1"/>
    <col min="8" max="10" width="10.44140625" bestFit="1" customWidth="1"/>
    <col min="14" max="14" width="14.109375" bestFit="1" customWidth="1"/>
    <col min="15" max="15" width="14.109375" customWidth="1"/>
    <col min="17" max="17" width="33.33203125" bestFit="1" customWidth="1"/>
    <col min="18" max="18" width="18.44140625" bestFit="1" customWidth="1"/>
    <col min="19" max="19" width="19.33203125" bestFit="1" customWidth="1"/>
  </cols>
  <sheetData>
    <row r="1" spans="1:19" x14ac:dyDescent="0.3">
      <c r="A1" s="1" t="s">
        <v>330</v>
      </c>
      <c r="B1" s="9"/>
      <c r="C1" s="9"/>
      <c r="D1" s="9"/>
      <c r="F1" s="9"/>
      <c r="G1" s="9"/>
      <c r="H1" s="9"/>
      <c r="I1" s="9"/>
      <c r="J1" s="9"/>
      <c r="L1" s="9"/>
      <c r="M1" s="9"/>
      <c r="N1" s="9"/>
      <c r="O1" s="9"/>
      <c r="P1" s="9"/>
      <c r="Q1" s="9"/>
    </row>
    <row r="2" spans="1:19" x14ac:dyDescent="0.3">
      <c r="A2" s="207" t="s">
        <v>71</v>
      </c>
      <c r="B2" s="208" t="s">
        <v>12</v>
      </c>
      <c r="C2" s="208"/>
      <c r="D2" s="208"/>
      <c r="E2" s="208"/>
      <c r="F2" s="208"/>
      <c r="G2" s="2"/>
      <c r="H2" s="208" t="s">
        <v>13</v>
      </c>
      <c r="I2" s="208"/>
      <c r="J2" s="208"/>
      <c r="K2" s="208"/>
      <c r="L2" s="208"/>
      <c r="M2" s="164"/>
      <c r="N2" s="207" t="s">
        <v>20</v>
      </c>
      <c r="O2" s="207" t="s">
        <v>5</v>
      </c>
      <c r="P2" s="4"/>
      <c r="Q2" s="207" t="s">
        <v>53</v>
      </c>
      <c r="R2" s="213" t="s">
        <v>21</v>
      </c>
      <c r="S2" s="213" t="s">
        <v>22</v>
      </c>
    </row>
    <row r="3" spans="1:19" x14ac:dyDescent="0.3">
      <c r="A3" s="207"/>
      <c r="B3" s="209" t="s">
        <v>3</v>
      </c>
      <c r="C3" s="210"/>
      <c r="D3" s="210"/>
      <c r="E3" s="207" t="s">
        <v>4</v>
      </c>
      <c r="F3" s="207" t="s">
        <v>5</v>
      </c>
      <c r="G3" s="2"/>
      <c r="H3" s="209" t="s">
        <v>3</v>
      </c>
      <c r="I3" s="210"/>
      <c r="J3" s="210"/>
      <c r="K3" s="207" t="s">
        <v>4</v>
      </c>
      <c r="L3" s="207" t="s">
        <v>5</v>
      </c>
      <c r="M3" s="166"/>
      <c r="N3" s="207"/>
      <c r="O3" s="207"/>
      <c r="P3" s="4"/>
      <c r="Q3" s="207"/>
      <c r="R3" s="213"/>
      <c r="S3" s="213"/>
    </row>
    <row r="4" spans="1:19" x14ac:dyDescent="0.3">
      <c r="A4" s="207"/>
      <c r="B4" s="3" t="s">
        <v>7</v>
      </c>
      <c r="C4" s="3" t="s">
        <v>8</v>
      </c>
      <c r="D4" s="3" t="s">
        <v>9</v>
      </c>
      <c r="E4" s="207"/>
      <c r="F4" s="207"/>
      <c r="G4" s="2"/>
      <c r="H4" s="3" t="s">
        <v>7</v>
      </c>
      <c r="I4" s="3" t="s">
        <v>8</v>
      </c>
      <c r="J4" s="3" t="s">
        <v>9</v>
      </c>
      <c r="K4" s="207"/>
      <c r="L4" s="207"/>
      <c r="M4" s="166"/>
      <c r="N4" s="207"/>
      <c r="O4" s="207"/>
      <c r="P4" s="4"/>
      <c r="Q4" s="207"/>
      <c r="R4" s="213"/>
      <c r="S4" s="213"/>
    </row>
    <row r="5" spans="1:19" x14ac:dyDescent="0.3">
      <c r="A5" t="s">
        <v>23</v>
      </c>
      <c r="B5" s="5">
        <v>6.34</v>
      </c>
      <c r="C5" s="5">
        <v>10.797000000000001</v>
      </c>
      <c r="D5" s="5">
        <v>12.88</v>
      </c>
      <c r="E5" s="5">
        <v>9.9051216682228471</v>
      </c>
      <c r="F5" s="5">
        <f t="shared" ref="F5:F10" si="0">(ABS(B5-E5)+ABS(C5-E5)+ABS(D5-E5))/3</f>
        <v>2.4772927772590516</v>
      </c>
      <c r="G5" s="9"/>
      <c r="H5" s="9">
        <v>32.369999999999997</v>
      </c>
      <c r="I5" s="9">
        <v>20.994</v>
      </c>
      <c r="J5" s="9">
        <v>28.080000000000002</v>
      </c>
      <c r="K5" s="9">
        <f t="shared" ref="K5:K10" si="1">(H5+I5+J5)/3</f>
        <v>27.148</v>
      </c>
      <c r="L5" s="9">
        <f t="shared" ref="L5:L10" si="2">(ABS(H5-K5)+ABS(I5-K5)+ABS(J5-K5))/3</f>
        <v>4.1026666666666669</v>
      </c>
      <c r="M5" s="9"/>
      <c r="N5" s="10">
        <f>K5/E5</f>
        <v>2.7408042939134161</v>
      </c>
      <c r="O5" s="10">
        <f>(K5/E5)*SQRT((L5/K5)*(L5/K5)+(F5/E5)*(F5/E5))</f>
        <v>0.8009014984834143</v>
      </c>
      <c r="P5" s="9"/>
      <c r="Q5" s="9">
        <f t="shared" ref="Q5:Q10" si="3">K5/K$5</f>
        <v>1</v>
      </c>
      <c r="R5" s="13">
        <f t="shared" ref="R5:R10" si="4">ABS(Q5-(K5+L5)/(K$5+L$5))</f>
        <v>0</v>
      </c>
      <c r="S5" s="13">
        <f>ABS(Q5-(K5-L5)/(K$5-L$5))</f>
        <v>0</v>
      </c>
    </row>
    <row r="6" spans="1:19" x14ac:dyDescent="0.3">
      <c r="A6" t="s">
        <v>72</v>
      </c>
      <c r="B6" s="5">
        <v>2.0999999999999999E-3</v>
      </c>
      <c r="C6" s="5">
        <v>3.5000000000000001E-3</v>
      </c>
      <c r="D6" s="5">
        <v>5.0899999999999999E-3</v>
      </c>
      <c r="E6" s="5">
        <f>(B6+C6+D6)/3</f>
        <v>3.5633333333333333E-3</v>
      </c>
      <c r="F6" s="5">
        <f t="shared" si="0"/>
        <v>1.0177777777777778E-3</v>
      </c>
      <c r="G6" s="13"/>
      <c r="H6" s="9">
        <v>0.121</v>
      </c>
      <c r="I6" s="9">
        <v>7.9000000000000001E-2</v>
      </c>
      <c r="J6" s="9">
        <v>0.03</v>
      </c>
      <c r="K6" s="9">
        <f t="shared" si="1"/>
        <v>7.6666666666666675E-2</v>
      </c>
      <c r="L6" s="9">
        <f t="shared" si="2"/>
        <v>3.1111111111111107E-2</v>
      </c>
      <c r="M6" s="9"/>
      <c r="N6" s="10">
        <f t="shared" ref="N6:N10" si="5">K6/E6</f>
        <v>21.515434985968199</v>
      </c>
      <c r="O6" s="10">
        <f t="shared" ref="O6:O10" si="6">(K6/E6)*SQRT((L6/K6)*(L6/K6)+(F6/E6)*(F6/E6))</f>
        <v>10.67679565226214</v>
      </c>
      <c r="P6" s="9"/>
      <c r="Q6" s="5">
        <f t="shared" si="3"/>
        <v>2.8240263248366978E-3</v>
      </c>
      <c r="R6" s="13">
        <f t="shared" si="4"/>
        <v>6.2478898932548897E-4</v>
      </c>
      <c r="S6" s="13">
        <f>ABS(Q6-(K6-L6)/(K$5-L$5))</f>
        <v>8.4724625849402942E-4</v>
      </c>
    </row>
    <row r="7" spans="1:19" x14ac:dyDescent="0.3">
      <c r="A7" t="s">
        <v>73</v>
      </c>
      <c r="B7" s="5">
        <v>1.024</v>
      </c>
      <c r="C7" s="5">
        <v>1.38</v>
      </c>
      <c r="D7" s="5">
        <v>0.80700000000000005</v>
      </c>
      <c r="E7" s="5">
        <f>(B7+C7+D7)/3</f>
        <v>1.0703333333333334</v>
      </c>
      <c r="F7" s="5">
        <f t="shared" si="0"/>
        <v>0.2064444444444444</v>
      </c>
      <c r="G7" s="9"/>
      <c r="H7" s="9">
        <v>1.5</v>
      </c>
      <c r="I7" s="9">
        <v>0.67</v>
      </c>
      <c r="J7" s="9">
        <v>1.63</v>
      </c>
      <c r="K7" s="9">
        <f t="shared" si="1"/>
        <v>1.2666666666666666</v>
      </c>
      <c r="L7" s="9">
        <f t="shared" si="2"/>
        <v>0.39777777777777779</v>
      </c>
      <c r="M7" s="9"/>
      <c r="N7" s="10">
        <f t="shared" si="5"/>
        <v>1.1834319526627217</v>
      </c>
      <c r="O7" s="10">
        <f t="shared" si="6"/>
        <v>0.43613956642733642</v>
      </c>
      <c r="P7" s="9"/>
      <c r="Q7" s="9">
        <f t="shared" si="3"/>
        <v>4.6657826236432394E-2</v>
      </c>
      <c r="R7" s="13">
        <f t="shared" si="4"/>
        <v>6.6032597492887979E-3</v>
      </c>
      <c r="S7" s="13">
        <f>ABS(Q7-(K7-L7)/(K$5-L$5))</f>
        <v>8.9543625320429795E-3</v>
      </c>
    </row>
    <row r="8" spans="1:19" x14ac:dyDescent="0.3">
      <c r="A8" t="s">
        <v>74</v>
      </c>
      <c r="B8" s="5">
        <v>9.1000000000000004E-3</v>
      </c>
      <c r="C8" s="5">
        <v>3.8100000000000002E-2</v>
      </c>
      <c r="D8" s="5">
        <v>5.3999999999999999E-2</v>
      </c>
      <c r="E8" s="5">
        <f>(B8+C8+D8)/3</f>
        <v>3.3733333333333337E-2</v>
      </c>
      <c r="F8" s="5">
        <f t="shared" si="0"/>
        <v>1.6422222222222223E-2</v>
      </c>
      <c r="G8" s="9"/>
      <c r="H8" s="9">
        <v>0.26</v>
      </c>
      <c r="I8" s="9">
        <v>0.10299999999999999</v>
      </c>
      <c r="J8" s="9">
        <v>0.21</v>
      </c>
      <c r="K8" s="9">
        <f t="shared" si="1"/>
        <v>0.19099999999999998</v>
      </c>
      <c r="L8" s="9">
        <f t="shared" si="2"/>
        <v>5.8666666666666679E-2</v>
      </c>
      <c r="M8" s="9"/>
      <c r="N8" s="10">
        <f t="shared" si="5"/>
        <v>5.6620553359683781</v>
      </c>
      <c r="O8" s="10">
        <f t="shared" si="6"/>
        <v>3.2592137560202485</v>
      </c>
      <c r="P8" s="9"/>
      <c r="Q8" s="9">
        <f t="shared" si="3"/>
        <v>7.0355090614409891E-3</v>
      </c>
      <c r="R8" s="13">
        <f t="shared" si="4"/>
        <v>9.536538364171886E-4</v>
      </c>
      <c r="S8" s="13">
        <f>ABS(Q8-(K8-L8)/(K$5-L$5))</f>
        <v>1.2932040394553384E-3</v>
      </c>
    </row>
    <row r="9" spans="1:19" x14ac:dyDescent="0.3">
      <c r="A9" t="s">
        <v>75</v>
      </c>
      <c r="B9" s="5">
        <v>4.7399999999999998E-2</v>
      </c>
      <c r="C9" s="5">
        <v>0.13100000000000001</v>
      </c>
      <c r="D9" s="5">
        <v>7.5999999999999998E-2</v>
      </c>
      <c r="E9" s="5">
        <f>(B9+C9+D9)/3</f>
        <v>8.48E-2</v>
      </c>
      <c r="F9" s="5">
        <f t="shared" si="0"/>
        <v>3.0800000000000004E-2</v>
      </c>
      <c r="G9" s="9"/>
      <c r="H9" s="9">
        <v>0.98</v>
      </c>
      <c r="I9" s="9">
        <v>0.44</v>
      </c>
      <c r="J9" s="9">
        <v>0.28999999999999998</v>
      </c>
      <c r="K9" s="9">
        <f t="shared" si="1"/>
        <v>0.56999999999999995</v>
      </c>
      <c r="L9" s="9">
        <f t="shared" si="2"/>
        <v>0.27333333333333337</v>
      </c>
      <c r="M9" s="9"/>
      <c r="N9" s="10">
        <f t="shared" si="5"/>
        <v>6.7216981132075464</v>
      </c>
      <c r="O9" s="10">
        <f t="shared" si="6"/>
        <v>4.0434845191243109</v>
      </c>
      <c r="P9" s="9"/>
      <c r="Q9" s="9">
        <f t="shared" si="3"/>
        <v>2.0996021806394576E-2</v>
      </c>
      <c r="R9" s="13">
        <f t="shared" si="4"/>
        <v>5.9900691569982033E-3</v>
      </c>
      <c r="S9" s="13">
        <f>ABS(Q9-(K9-L9)/(K$5-L$5))</f>
        <v>8.1228443011874506E-3</v>
      </c>
    </row>
    <row r="10" spans="1:19" x14ac:dyDescent="0.3">
      <c r="A10" t="s">
        <v>76</v>
      </c>
      <c r="B10" s="5">
        <v>5.6000000000000001E-2</v>
      </c>
      <c r="C10" s="5">
        <v>3.4000000000000002E-2</v>
      </c>
      <c r="D10" s="5">
        <v>9.5000000000000001E-2</v>
      </c>
      <c r="E10" s="5">
        <f>(B10+C10+D10)/3</f>
        <v>6.1666666666666668E-2</v>
      </c>
      <c r="F10" s="5">
        <f t="shared" si="0"/>
        <v>2.2222222222222223E-2</v>
      </c>
      <c r="G10" s="9"/>
      <c r="H10" s="9">
        <v>0.64</v>
      </c>
      <c r="I10" s="9">
        <v>0.08</v>
      </c>
      <c r="J10" s="9">
        <v>0.38</v>
      </c>
      <c r="K10" s="9">
        <f t="shared" si="1"/>
        <v>0.3666666666666667</v>
      </c>
      <c r="L10" s="9">
        <f t="shared" si="2"/>
        <v>0.19111111111111112</v>
      </c>
      <c r="M10" s="9"/>
      <c r="N10" s="10">
        <f t="shared" si="5"/>
        <v>5.9459459459459465</v>
      </c>
      <c r="O10" s="10">
        <f t="shared" si="6"/>
        <v>3.7676924799454961</v>
      </c>
      <c r="P10" s="9"/>
      <c r="Q10" s="9">
        <f t="shared" si="3"/>
        <v>1.3506212857914642E-2</v>
      </c>
      <c r="R10" s="13">
        <f t="shared" si="4"/>
        <v>4.3422952628010061E-3</v>
      </c>
      <c r="S10" s="13"/>
    </row>
    <row r="11" spans="1:19" x14ac:dyDescent="0.3">
      <c r="B11" s="9"/>
      <c r="C11" s="9"/>
      <c r="D11" s="9"/>
      <c r="F11" s="9"/>
      <c r="G11" s="9"/>
      <c r="H11" s="9"/>
      <c r="I11" s="9"/>
      <c r="J11" s="9"/>
      <c r="L11" s="9"/>
      <c r="M11" s="9"/>
      <c r="N11" s="9"/>
      <c r="O11" s="9"/>
      <c r="P11" s="9"/>
      <c r="Q11" s="9"/>
      <c r="R11" s="13"/>
      <c r="S11" s="13"/>
    </row>
    <row r="12" spans="1:19" x14ac:dyDescent="0.3">
      <c r="N12" s="9"/>
      <c r="O12" s="9"/>
      <c r="P12" s="9"/>
      <c r="Q12" s="9"/>
      <c r="R12" s="13"/>
      <c r="S12" s="13"/>
    </row>
    <row r="16" spans="1:19" x14ac:dyDescent="0.3">
      <c r="N16" s="9"/>
      <c r="O16" s="9"/>
      <c r="P16" s="9"/>
      <c r="Q16" s="9"/>
      <c r="R16" s="9"/>
      <c r="S16" s="9"/>
    </row>
    <row r="17" spans="14:19" x14ac:dyDescent="0.3">
      <c r="N17" s="9"/>
      <c r="O17" s="9"/>
      <c r="P17" s="9"/>
      <c r="Q17" s="9"/>
      <c r="R17" s="9"/>
      <c r="S17" s="9"/>
    </row>
    <row r="18" spans="14:19" x14ac:dyDescent="0.3">
      <c r="N18" s="9"/>
      <c r="O18" s="9"/>
      <c r="P18" s="9"/>
      <c r="Q18" s="9"/>
      <c r="R18" s="9"/>
      <c r="S18" s="9"/>
    </row>
    <row r="19" spans="14:19" x14ac:dyDescent="0.3">
      <c r="N19" s="9"/>
      <c r="O19" s="9"/>
      <c r="P19" s="9"/>
      <c r="Q19" s="9"/>
      <c r="R19" s="9"/>
      <c r="S19" s="9"/>
    </row>
    <row r="20" spans="14:19" x14ac:dyDescent="0.3">
      <c r="N20" s="9"/>
      <c r="O20" s="9"/>
      <c r="P20" s="9"/>
      <c r="Q20" s="9"/>
      <c r="R20" s="9"/>
      <c r="S20" s="9"/>
    </row>
    <row r="21" spans="14:19" x14ac:dyDescent="0.3">
      <c r="N21" s="9"/>
      <c r="O21" s="9"/>
      <c r="P21" s="9"/>
      <c r="Q21" s="9"/>
      <c r="R21" s="9"/>
      <c r="S21" s="9"/>
    </row>
    <row r="22" spans="14:19" x14ac:dyDescent="0.3">
      <c r="N22" s="9"/>
      <c r="O22" s="9"/>
      <c r="P22" s="9"/>
      <c r="Q22" s="9"/>
      <c r="R22" s="9"/>
      <c r="S22" s="9"/>
    </row>
    <row r="23" spans="14:19" x14ac:dyDescent="0.3">
      <c r="N23" s="9"/>
      <c r="O23" s="9"/>
      <c r="P23" s="9"/>
      <c r="Q23" s="9"/>
      <c r="R23" s="9"/>
      <c r="S23" s="9"/>
    </row>
  </sheetData>
  <mergeCells count="14">
    <mergeCell ref="S2:S4"/>
    <mergeCell ref="B3:D3"/>
    <mergeCell ref="E3:E4"/>
    <mergeCell ref="F3:F4"/>
    <mergeCell ref="H3:J3"/>
    <mergeCell ref="K3:K4"/>
    <mergeCell ref="L3:L4"/>
    <mergeCell ref="O2:O4"/>
    <mergeCell ref="N2:N4"/>
    <mergeCell ref="A2:A4"/>
    <mergeCell ref="B2:F2"/>
    <mergeCell ref="H2:L2"/>
    <mergeCell ref="Q2:Q4"/>
    <mergeCell ref="R2:R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7" sqref="A7"/>
    </sheetView>
  </sheetViews>
  <sheetFormatPr defaultRowHeight="14.4" x14ac:dyDescent="0.3"/>
  <cols>
    <col min="1" max="1" width="23.33203125" customWidth="1"/>
    <col min="2" max="4" width="10.44140625" bestFit="1" customWidth="1"/>
    <col min="8" max="10" width="10.44140625" bestFit="1" customWidth="1"/>
  </cols>
  <sheetData>
    <row r="1" spans="1:12" x14ac:dyDescent="0.3">
      <c r="A1" s="1" t="s">
        <v>329</v>
      </c>
      <c r="B1" s="9"/>
      <c r="C1" s="9"/>
      <c r="D1" s="9"/>
      <c r="F1" s="9"/>
      <c r="G1" s="9"/>
      <c r="H1" s="9"/>
      <c r="I1" s="9"/>
      <c r="J1" s="9"/>
      <c r="L1" s="9"/>
    </row>
    <row r="2" spans="1:12" x14ac:dyDescent="0.3">
      <c r="A2" s="214" t="s">
        <v>381</v>
      </c>
      <c r="B2" s="208" t="s">
        <v>12</v>
      </c>
      <c r="C2" s="208"/>
      <c r="D2" s="208"/>
      <c r="E2" s="208"/>
      <c r="F2" s="208"/>
      <c r="G2" s="1"/>
      <c r="H2" s="208" t="s">
        <v>13</v>
      </c>
      <c r="I2" s="208"/>
      <c r="J2" s="208"/>
      <c r="K2" s="208"/>
      <c r="L2" s="208"/>
    </row>
    <row r="3" spans="1:12" x14ac:dyDescent="0.3">
      <c r="A3" s="214"/>
      <c r="B3" s="209" t="s">
        <v>3</v>
      </c>
      <c r="C3" s="210"/>
      <c r="D3" s="210"/>
      <c r="E3" s="207" t="s">
        <v>4</v>
      </c>
      <c r="F3" s="207" t="s">
        <v>5</v>
      </c>
      <c r="H3" s="209" t="s">
        <v>3</v>
      </c>
      <c r="I3" s="210"/>
      <c r="J3" s="210"/>
      <c r="K3" s="207" t="s">
        <v>4</v>
      </c>
      <c r="L3" s="207" t="s">
        <v>5</v>
      </c>
    </row>
    <row r="4" spans="1:12" x14ac:dyDescent="0.3">
      <c r="A4" s="214"/>
      <c r="B4" s="3" t="s">
        <v>7</v>
      </c>
      <c r="C4" s="3" t="s">
        <v>8</v>
      </c>
      <c r="D4" s="3" t="s">
        <v>9</v>
      </c>
      <c r="E4" s="207"/>
      <c r="F4" s="207"/>
      <c r="H4" s="3" t="s">
        <v>7</v>
      </c>
      <c r="I4" s="3" t="s">
        <v>8</v>
      </c>
      <c r="J4" s="3" t="s">
        <v>9</v>
      </c>
      <c r="K4" s="207"/>
      <c r="L4" s="207"/>
    </row>
    <row r="5" spans="1:12" x14ac:dyDescent="0.3">
      <c r="A5" t="s">
        <v>373</v>
      </c>
      <c r="B5" s="9">
        <v>14.36</v>
      </c>
      <c r="C5" s="9">
        <v>32.130000000000003</v>
      </c>
      <c r="D5" s="9">
        <v>23.44</v>
      </c>
      <c r="E5" s="9">
        <f t="shared" ref="E5:E12" si="0">AVERAGE(B5:D5)</f>
        <v>23.310000000000002</v>
      </c>
      <c r="F5" s="9">
        <f t="shared" ref="F5:F12" si="1">(ABS(B5-E5)+ABS(C5-E5)+ABS(D5-E5))/3</f>
        <v>5.9666666666666677</v>
      </c>
      <c r="G5" s="9"/>
      <c r="H5" s="9">
        <v>39.484999999999999</v>
      </c>
      <c r="I5" s="9">
        <v>80.108000000000004</v>
      </c>
      <c r="J5" s="9">
        <v>67.819000000000003</v>
      </c>
      <c r="K5" s="9">
        <f t="shared" ref="K5:K12" si="2">AVERAGE(H5:J5)</f>
        <v>62.470666666666666</v>
      </c>
      <c r="L5" s="9">
        <f t="shared" ref="L5:L12" si="3">(ABS(H5-K5)+ABS(I5-K5)+ABS(J5-K5))/3</f>
        <v>15.32377777777778</v>
      </c>
    </row>
    <row r="6" spans="1:12" x14ac:dyDescent="0.3">
      <c r="A6" t="s">
        <v>374</v>
      </c>
      <c r="B6" s="9">
        <v>35.561</v>
      </c>
      <c r="C6" s="9">
        <v>47.191000000000003</v>
      </c>
      <c r="D6" s="9">
        <v>41.722999999999999</v>
      </c>
      <c r="E6" s="9">
        <f t="shared" si="0"/>
        <v>41.491666666666667</v>
      </c>
      <c r="F6" s="9">
        <f t="shared" si="1"/>
        <v>3.9537777777777783</v>
      </c>
      <c r="G6" s="9"/>
      <c r="H6" s="9">
        <v>70.415000000000006</v>
      </c>
      <c r="I6" s="9">
        <v>92.802000000000007</v>
      </c>
      <c r="J6" s="9">
        <v>52.292999999999999</v>
      </c>
      <c r="K6" s="9">
        <f t="shared" si="2"/>
        <v>71.836666666666673</v>
      </c>
      <c r="L6" s="9">
        <f t="shared" si="3"/>
        <v>13.976888888888892</v>
      </c>
    </row>
    <row r="7" spans="1:12" x14ac:dyDescent="0.3">
      <c r="A7" t="s">
        <v>375</v>
      </c>
      <c r="B7" s="9">
        <v>19.945</v>
      </c>
      <c r="C7" s="9">
        <v>34.912999999999997</v>
      </c>
      <c r="D7" s="9">
        <v>27.658999999999999</v>
      </c>
      <c r="E7" s="9">
        <f t="shared" si="0"/>
        <v>27.505666666666666</v>
      </c>
      <c r="F7" s="9">
        <f t="shared" si="1"/>
        <v>5.040444444444443</v>
      </c>
      <c r="G7" s="9"/>
      <c r="H7" s="9">
        <v>97.74</v>
      </c>
      <c r="I7" s="9">
        <v>133.94</v>
      </c>
      <c r="J7" s="9">
        <v>146.89500000000001</v>
      </c>
      <c r="K7" s="9">
        <f t="shared" si="2"/>
        <v>126.19166666666668</v>
      </c>
      <c r="L7" s="9">
        <f t="shared" si="3"/>
        <v>18.96777777777778</v>
      </c>
    </row>
    <row r="8" spans="1:12" x14ac:dyDescent="0.3">
      <c r="A8" t="s">
        <v>376</v>
      </c>
      <c r="B8" s="9">
        <v>70.165999999999997</v>
      </c>
      <c r="C8" s="9">
        <v>101.958</v>
      </c>
      <c r="D8" s="9">
        <v>86.784000000000006</v>
      </c>
      <c r="E8" s="9">
        <f t="shared" si="0"/>
        <v>86.302666666666667</v>
      </c>
      <c r="F8" s="9">
        <f t="shared" si="1"/>
        <v>10.757777777777781</v>
      </c>
      <c r="G8" s="9"/>
      <c r="H8" s="9">
        <v>136.06100000000001</v>
      </c>
      <c r="I8" s="9">
        <v>188.12100000000001</v>
      </c>
      <c r="J8" s="9">
        <v>177.9632192</v>
      </c>
      <c r="K8" s="9">
        <f t="shared" si="2"/>
        <v>167.38173973333335</v>
      </c>
      <c r="L8" s="9">
        <f t="shared" si="3"/>
        <v>20.880493155555552</v>
      </c>
    </row>
    <row r="9" spans="1:12" x14ac:dyDescent="0.3">
      <c r="A9" t="s">
        <v>377</v>
      </c>
      <c r="B9" s="9">
        <v>8.0860000000000003</v>
      </c>
      <c r="C9" s="9">
        <v>14.292999999999999</v>
      </c>
      <c r="D9" s="9">
        <v>12.643000000000001</v>
      </c>
      <c r="E9" s="9">
        <f t="shared" si="0"/>
        <v>11.673999999999999</v>
      </c>
      <c r="F9" s="9">
        <f t="shared" si="1"/>
        <v>2.3919999999999999</v>
      </c>
      <c r="G9" s="9"/>
      <c r="H9" s="9">
        <v>24.280999999999999</v>
      </c>
      <c r="I9" s="9">
        <v>36.936999999999998</v>
      </c>
      <c r="J9" s="9">
        <v>28.678000000000001</v>
      </c>
      <c r="K9" s="9">
        <f t="shared" si="2"/>
        <v>29.965333333333334</v>
      </c>
      <c r="L9" s="9">
        <f t="shared" si="3"/>
        <v>4.6477777777777769</v>
      </c>
    </row>
    <row r="10" spans="1:12" x14ac:dyDescent="0.3">
      <c r="A10" t="s">
        <v>379</v>
      </c>
      <c r="B10" s="9">
        <v>13.163</v>
      </c>
      <c r="C10" s="9">
        <v>29.356000000000002</v>
      </c>
      <c r="D10" s="9">
        <v>24.021999999999998</v>
      </c>
      <c r="E10" s="9">
        <f t="shared" si="0"/>
        <v>22.180333333333333</v>
      </c>
      <c r="F10" s="9">
        <f t="shared" si="1"/>
        <v>6.0115555555555558</v>
      </c>
      <c r="G10" s="9"/>
      <c r="H10" s="9">
        <v>33.24</v>
      </c>
      <c r="I10" s="9">
        <v>53.198999999999998</v>
      </c>
      <c r="J10" s="9">
        <v>48.146999999999998</v>
      </c>
      <c r="K10" s="9">
        <f t="shared" si="2"/>
        <v>44.861999999999995</v>
      </c>
      <c r="L10" s="9">
        <f t="shared" si="3"/>
        <v>7.7480000000000002</v>
      </c>
    </row>
    <row r="11" spans="1:12" x14ac:dyDescent="0.3">
      <c r="A11" t="s">
        <v>378</v>
      </c>
      <c r="B11" s="9">
        <v>11.093999999999999</v>
      </c>
      <c r="C11" s="9">
        <v>18.521999999999998</v>
      </c>
      <c r="D11" s="9">
        <v>13.907999999999999</v>
      </c>
      <c r="E11" s="9">
        <f t="shared" si="0"/>
        <v>14.508000000000001</v>
      </c>
      <c r="F11" s="9">
        <f t="shared" si="1"/>
        <v>2.6760000000000002</v>
      </c>
      <c r="G11" s="9"/>
      <c r="H11" s="9">
        <v>60.587000000000003</v>
      </c>
      <c r="I11" s="9">
        <v>82.62</v>
      </c>
      <c r="J11" s="9">
        <v>84.697000000000003</v>
      </c>
      <c r="K11" s="9">
        <f t="shared" si="2"/>
        <v>75.968000000000004</v>
      </c>
      <c r="L11" s="9">
        <f t="shared" si="3"/>
        <v>10.254</v>
      </c>
    </row>
    <row r="12" spans="1:12" x14ac:dyDescent="0.3">
      <c r="A12" t="s">
        <v>380</v>
      </c>
      <c r="B12" s="9">
        <v>18.079000000000001</v>
      </c>
      <c r="C12" s="9">
        <v>35.692</v>
      </c>
      <c r="D12" s="9">
        <v>26.425000000000001</v>
      </c>
      <c r="E12" s="9">
        <f t="shared" si="0"/>
        <v>26.731999999999999</v>
      </c>
      <c r="F12" s="9">
        <f t="shared" si="1"/>
        <v>5.9733333333333327</v>
      </c>
      <c r="G12" s="9"/>
      <c r="H12" s="9">
        <v>118.504</v>
      </c>
      <c r="I12" s="9">
        <v>93.15</v>
      </c>
      <c r="J12" s="9">
        <v>129.637</v>
      </c>
      <c r="K12" s="9">
        <f t="shared" si="2"/>
        <v>113.76366666666667</v>
      </c>
      <c r="L12" s="9">
        <f t="shared" si="3"/>
        <v>13.742444444444445</v>
      </c>
    </row>
  </sheetData>
  <mergeCells count="9">
    <mergeCell ref="A2:A4"/>
    <mergeCell ref="H2:L2"/>
    <mergeCell ref="B3:D3"/>
    <mergeCell ref="H3:J3"/>
    <mergeCell ref="K3:K4"/>
    <mergeCell ref="L3:L4"/>
    <mergeCell ref="E3:E4"/>
    <mergeCell ref="F3:F4"/>
    <mergeCell ref="B2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A11" sqref="A11"/>
    </sheetView>
  </sheetViews>
  <sheetFormatPr defaultRowHeight="14.4" x14ac:dyDescent="0.3"/>
  <cols>
    <col min="1" max="1" width="27.44140625" bestFit="1" customWidth="1"/>
    <col min="2" max="4" width="10.44140625" bestFit="1" customWidth="1"/>
    <col min="7" max="7" width="18.44140625" bestFit="1" customWidth="1"/>
    <col min="9" max="11" width="10.44140625" bestFit="1" customWidth="1"/>
    <col min="14" max="14" width="18.44140625" bestFit="1" customWidth="1"/>
    <col min="16" max="18" width="10.44140625" bestFit="1" customWidth="1"/>
    <col min="21" max="21" width="18.44140625" bestFit="1" customWidth="1"/>
  </cols>
  <sheetData>
    <row r="1" spans="1:22" x14ac:dyDescent="0.3">
      <c r="B1" s="208" t="s">
        <v>0</v>
      </c>
      <c r="C1" s="208"/>
      <c r="D1" s="208"/>
      <c r="E1" s="208"/>
      <c r="F1" s="208"/>
      <c r="G1" s="163"/>
      <c r="H1" s="163"/>
      <c r="I1" s="208" t="s">
        <v>1</v>
      </c>
      <c r="J1" s="208"/>
      <c r="K1" s="208"/>
      <c r="L1" s="208"/>
      <c r="M1" s="208"/>
      <c r="N1" s="163"/>
      <c r="O1" s="163"/>
      <c r="P1" s="208" t="s">
        <v>2</v>
      </c>
      <c r="Q1" s="208"/>
      <c r="R1" s="208"/>
      <c r="S1" s="208"/>
      <c r="T1" s="208"/>
    </row>
    <row r="2" spans="1:22" x14ac:dyDescent="0.3">
      <c r="B2" s="209" t="s">
        <v>3</v>
      </c>
      <c r="C2" s="210"/>
      <c r="D2" s="210"/>
      <c r="E2" s="207" t="s">
        <v>4</v>
      </c>
      <c r="F2" s="207" t="s">
        <v>5</v>
      </c>
      <c r="G2" s="207" t="s">
        <v>6</v>
      </c>
      <c r="H2" s="207"/>
      <c r="I2" s="209" t="s">
        <v>328</v>
      </c>
      <c r="J2" s="210"/>
      <c r="K2" s="210"/>
      <c r="L2" s="207" t="s">
        <v>4</v>
      </c>
      <c r="M2" s="207" t="s">
        <v>5</v>
      </c>
      <c r="N2" s="207" t="s">
        <v>6</v>
      </c>
      <c r="O2" s="207"/>
      <c r="P2" s="209" t="s">
        <v>328</v>
      </c>
      <c r="Q2" s="210"/>
      <c r="R2" s="210"/>
      <c r="S2" s="207" t="s">
        <v>4</v>
      </c>
      <c r="T2" s="207" t="s">
        <v>5</v>
      </c>
      <c r="U2" s="207" t="s">
        <v>6</v>
      </c>
      <c r="V2" s="207"/>
    </row>
    <row r="3" spans="1:22" x14ac:dyDescent="0.3">
      <c r="B3" s="162" t="s">
        <v>7</v>
      </c>
      <c r="C3" s="162" t="s">
        <v>8</v>
      </c>
      <c r="D3" s="162" t="s">
        <v>9</v>
      </c>
      <c r="E3" s="207"/>
      <c r="F3" s="207"/>
      <c r="G3" s="161" t="s">
        <v>324</v>
      </c>
      <c r="H3" s="161" t="s">
        <v>10</v>
      </c>
      <c r="I3" s="162" t="s">
        <v>7</v>
      </c>
      <c r="J3" s="162" t="s">
        <v>8</v>
      </c>
      <c r="K3" s="162" t="s">
        <v>9</v>
      </c>
      <c r="L3" s="207"/>
      <c r="M3" s="207"/>
      <c r="N3" s="161" t="s">
        <v>324</v>
      </c>
      <c r="O3" s="161" t="s">
        <v>10</v>
      </c>
      <c r="P3" s="162" t="s">
        <v>7</v>
      </c>
      <c r="Q3" s="162" t="s">
        <v>8</v>
      </c>
      <c r="R3" s="162" t="s">
        <v>9</v>
      </c>
      <c r="S3" s="207"/>
      <c r="T3" s="207"/>
      <c r="U3" s="161" t="s">
        <v>324</v>
      </c>
      <c r="V3" s="161" t="s">
        <v>10</v>
      </c>
    </row>
    <row r="4" spans="1:22" x14ac:dyDescent="0.3">
      <c r="A4" t="s">
        <v>350</v>
      </c>
      <c r="B4" s="5">
        <v>0.182</v>
      </c>
      <c r="C4" s="5">
        <v>0.14000000000000001</v>
      </c>
      <c r="D4" s="5">
        <v>0.156</v>
      </c>
      <c r="E4" s="6">
        <f>(B4+C4+D4)/3</f>
        <v>0.15933333333333333</v>
      </c>
      <c r="F4" s="6">
        <f>(ABS(B4-E4)+ABS(C4-E4)+ABS(D4-E4))/3</f>
        <v>1.5111111111111103E-2</v>
      </c>
      <c r="G4" s="7" t="s">
        <v>11</v>
      </c>
      <c r="H4" s="7" t="s">
        <v>11</v>
      </c>
      <c r="I4" s="5">
        <v>0.105</v>
      </c>
      <c r="J4" s="5">
        <v>0.1358</v>
      </c>
      <c r="K4" s="5">
        <v>0.16500000000000001</v>
      </c>
      <c r="L4" s="6">
        <f>(I4+J4+K4)/3</f>
        <v>0.13526666666666667</v>
      </c>
      <c r="M4" s="6">
        <f>(ABS(I4-L4)+ABS(J4-L4)+ABS(K4-L4))/3</f>
        <v>2.0177777777777781E-2</v>
      </c>
      <c r="N4" s="7" t="s">
        <v>11</v>
      </c>
      <c r="O4" s="7" t="s">
        <v>11</v>
      </c>
      <c r="P4" s="5">
        <v>9.7999999999999997E-3</v>
      </c>
      <c r="Q4" s="5">
        <v>8.6999999999999994E-3</v>
      </c>
      <c r="R4" s="5">
        <v>7.4000000000000003E-3</v>
      </c>
      <c r="S4" s="6">
        <f>(P4+Q4+R4)/3</f>
        <v>8.6333333333333331E-3</v>
      </c>
      <c r="T4" s="6">
        <f>(ABS(P4-S4)+ABS(Q4-S4)+ABS(R4-S4))/3</f>
        <v>8.2222222222222191E-4</v>
      </c>
      <c r="U4" s="7" t="s">
        <v>11</v>
      </c>
      <c r="V4" s="7" t="s">
        <v>11</v>
      </c>
    </row>
    <row r="5" spans="1:22" x14ac:dyDescent="0.3">
      <c r="A5" t="s">
        <v>351</v>
      </c>
      <c r="B5" s="5">
        <v>0.61</v>
      </c>
      <c r="C5" s="5">
        <v>0.7</v>
      </c>
      <c r="D5" s="5">
        <v>0.71</v>
      </c>
      <c r="E5" s="6">
        <f>(B5+C5+D5)/3</f>
        <v>0.67333333333333334</v>
      </c>
      <c r="F5" s="6">
        <f>(ABS(B5-E5)+ABS(C5-E5)+ABS(D5-E5))/3</f>
        <v>4.2222222222222196E-2</v>
      </c>
      <c r="G5" s="6">
        <f>E5/E4</f>
        <v>4.2259414225941425</v>
      </c>
      <c r="H5" s="6">
        <f>E5/E$5</f>
        <v>1</v>
      </c>
      <c r="I5" s="5">
        <v>0.44</v>
      </c>
      <c r="J5" s="5">
        <v>0.439</v>
      </c>
      <c r="K5" s="5">
        <v>0.46300000000000002</v>
      </c>
      <c r="L5" s="6">
        <f>(I5+J5+K5)/3</f>
        <v>0.44733333333333336</v>
      </c>
      <c r="M5" s="6">
        <f>(ABS(I5-L5)+ABS(J5-L5)+ABS(K5-L5))/3</f>
        <v>1.0444444444444459E-2</v>
      </c>
      <c r="N5" s="6">
        <f>L5/L4</f>
        <v>3.3070478068013802</v>
      </c>
      <c r="O5" s="6">
        <f>L5/L$5</f>
        <v>1</v>
      </c>
      <c r="P5" s="5">
        <v>2.5000000000000001E-2</v>
      </c>
      <c r="Q5" s="5">
        <v>3.3000000000000002E-2</v>
      </c>
      <c r="R5" s="5">
        <v>2.7E-2</v>
      </c>
      <c r="S5" s="6">
        <f>(P5+Q5+R5)/3</f>
        <v>2.8333333333333335E-2</v>
      </c>
      <c r="T5" s="6">
        <f>(ABS(P5-S5)+ABS(Q5-S5)+ABS(R5-S5))/3</f>
        <v>3.1111111111111118E-3</v>
      </c>
      <c r="U5" s="6">
        <f>S5/S4</f>
        <v>3.281853281853282</v>
      </c>
      <c r="V5" s="6">
        <f>S5/S$5</f>
        <v>1</v>
      </c>
    </row>
    <row r="6" spans="1:22" x14ac:dyDescent="0.3">
      <c r="A6" t="s">
        <v>352</v>
      </c>
      <c r="B6" s="5">
        <v>1.42</v>
      </c>
      <c r="C6" s="5">
        <v>2.14</v>
      </c>
      <c r="D6" s="5">
        <v>2.13</v>
      </c>
      <c r="E6" s="6">
        <f>(B6+C6+D6)/3</f>
        <v>1.8966666666666665</v>
      </c>
      <c r="F6" s="6">
        <f>(ABS(B6-E6)+ABS(C6-E6)+ABS(D6-E6))/3</f>
        <v>0.31777777777777788</v>
      </c>
      <c r="G6" s="6">
        <f>E6/E5</f>
        <v>2.8168316831683167</v>
      </c>
      <c r="H6" s="6">
        <f>E6/E$5</f>
        <v>2.8168316831683167</v>
      </c>
      <c r="I6" s="5">
        <v>1.3018000000000001</v>
      </c>
      <c r="J6" s="5">
        <v>1.2002999999999999</v>
      </c>
      <c r="K6" s="5">
        <v>1.1011</v>
      </c>
      <c r="L6" s="6">
        <f>(I6+J6+K6)/3</f>
        <v>1.2010666666666667</v>
      </c>
      <c r="M6" s="6">
        <f>(ABS(I6-L6)+ABS(J6-L6)+ABS(K6-L6))/3</f>
        <v>6.7155555555555635E-2</v>
      </c>
      <c r="N6" s="6">
        <f>L6/L5</f>
        <v>2.6849478390461998</v>
      </c>
      <c r="O6" s="6">
        <f>L6/L$5</f>
        <v>2.6849478390461998</v>
      </c>
      <c r="P6" s="5">
        <v>5.2999999999999999E-2</v>
      </c>
      <c r="Q6" s="5">
        <v>4.5999999999999999E-2</v>
      </c>
      <c r="R6" s="5">
        <v>6.7000000000000004E-2</v>
      </c>
      <c r="S6" s="6">
        <f>(P6+Q6+R6)/3</f>
        <v>5.5333333333333339E-2</v>
      </c>
      <c r="T6" s="6">
        <f>(ABS(P6-S6)+ABS(Q6-S6)+ABS(R6-S6))/3</f>
        <v>7.7777777777777819E-3</v>
      </c>
      <c r="U6" s="6">
        <f>S6/S5</f>
        <v>1.9529411764705882</v>
      </c>
      <c r="V6" s="6">
        <f>S6/S$5</f>
        <v>1.9529411764705882</v>
      </c>
    </row>
    <row r="7" spans="1:22" x14ac:dyDescent="0.3">
      <c r="A7" t="s">
        <v>353</v>
      </c>
      <c r="B7" s="5">
        <v>2.54</v>
      </c>
      <c r="C7" s="5">
        <v>2.39</v>
      </c>
      <c r="D7" s="5">
        <v>3.17</v>
      </c>
      <c r="E7" s="6">
        <f>(B7+C7+D7)/3</f>
        <v>2.6999999999999997</v>
      </c>
      <c r="F7" s="6">
        <f>(ABS(B7-E7)+ABS(C7-E7)+ABS(D7-E7))/3</f>
        <v>0.31333333333333319</v>
      </c>
      <c r="G7" s="6">
        <f>E7/E6</f>
        <v>1.4235500878734622</v>
      </c>
      <c r="H7" s="6">
        <f>E7/E$5</f>
        <v>4.0099009900990099</v>
      </c>
      <c r="I7" s="5">
        <v>2.83</v>
      </c>
      <c r="J7" s="5">
        <v>2.4</v>
      </c>
      <c r="K7" s="5">
        <v>2.21</v>
      </c>
      <c r="L7" s="6">
        <f>(I7+J7+K7)/3</f>
        <v>2.48</v>
      </c>
      <c r="M7" s="6">
        <f>(ABS(I7-L7)+ABS(J7-L7)+ABS(K7-L7))/3</f>
        <v>0.23333333333333339</v>
      </c>
      <c r="N7" s="6">
        <f>L7/L6</f>
        <v>2.0648312611012432</v>
      </c>
      <c r="O7" s="6">
        <f>L7/L$5</f>
        <v>5.5439642324888219</v>
      </c>
      <c r="P7" s="5">
        <v>0.127</v>
      </c>
      <c r="Q7" s="5">
        <v>8.77E-2</v>
      </c>
      <c r="R7" s="5">
        <v>0.115</v>
      </c>
      <c r="S7" s="6">
        <f>(P7+Q7+R7)/3</f>
        <v>0.1099</v>
      </c>
      <c r="T7" s="6">
        <f>(ABS(P7-S7)+ABS(Q7-S7)+ABS(R7-S7))/3</f>
        <v>1.4800000000000002E-2</v>
      </c>
      <c r="U7" s="6">
        <f>S7/S6</f>
        <v>1.9861445783132528</v>
      </c>
      <c r="V7" s="6">
        <f>S7/S$5</f>
        <v>3.8788235294117643</v>
      </c>
    </row>
  </sheetData>
  <mergeCells count="15">
    <mergeCell ref="U2:V2"/>
    <mergeCell ref="B1:F1"/>
    <mergeCell ref="I1:M1"/>
    <mergeCell ref="P1:T1"/>
    <mergeCell ref="B2:D2"/>
    <mergeCell ref="E2:E3"/>
    <mergeCell ref="F2:F3"/>
    <mergeCell ref="G2:H2"/>
    <mergeCell ref="I2:K2"/>
    <mergeCell ref="L2:L3"/>
    <mergeCell ref="M2:M3"/>
    <mergeCell ref="N2:O2"/>
    <mergeCell ref="P2:R2"/>
    <mergeCell ref="S2:S3"/>
    <mergeCell ref="T2:T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D13" sqref="D13"/>
    </sheetView>
  </sheetViews>
  <sheetFormatPr defaultRowHeight="14.4" x14ac:dyDescent="0.3"/>
  <cols>
    <col min="1" max="1" width="27.44140625" bestFit="1" customWidth="1"/>
    <col min="2" max="4" width="10.44140625" bestFit="1" customWidth="1"/>
    <col min="9" max="11" width="10.44140625" bestFit="1" customWidth="1"/>
    <col min="16" max="18" width="10.44140625" bestFit="1" customWidth="1"/>
  </cols>
  <sheetData>
    <row r="1" spans="1:20" x14ac:dyDescent="0.3">
      <c r="B1" s="208" t="s">
        <v>0</v>
      </c>
      <c r="C1" s="208"/>
      <c r="D1" s="208"/>
      <c r="E1" s="208"/>
      <c r="F1" s="208"/>
      <c r="G1" s="163"/>
      <c r="H1" s="163"/>
      <c r="I1" s="208" t="s">
        <v>1</v>
      </c>
      <c r="J1" s="208"/>
      <c r="K1" s="208"/>
      <c r="L1" s="208"/>
      <c r="M1" s="208"/>
      <c r="N1" s="163"/>
      <c r="O1" s="163"/>
      <c r="P1" s="208" t="s">
        <v>2</v>
      </c>
      <c r="Q1" s="208"/>
      <c r="R1" s="208"/>
      <c r="S1" s="208"/>
      <c r="T1" s="208"/>
    </row>
    <row r="2" spans="1:20" x14ac:dyDescent="0.3">
      <c r="B2" s="209" t="s">
        <v>3</v>
      </c>
      <c r="C2" s="210"/>
      <c r="D2" s="210"/>
      <c r="E2" s="207" t="s">
        <v>4</v>
      </c>
      <c r="F2" s="207" t="s">
        <v>5</v>
      </c>
      <c r="G2" s="161"/>
      <c r="H2" s="161"/>
      <c r="I2" s="209" t="s">
        <v>3</v>
      </c>
      <c r="J2" s="210"/>
      <c r="K2" s="210"/>
      <c r="L2" s="207" t="s">
        <v>4</v>
      </c>
      <c r="M2" s="207" t="s">
        <v>5</v>
      </c>
      <c r="N2" s="161"/>
      <c r="O2" s="161"/>
      <c r="P2" s="209" t="s">
        <v>3</v>
      </c>
      <c r="Q2" s="210"/>
      <c r="R2" s="210"/>
      <c r="S2" s="207" t="s">
        <v>4</v>
      </c>
      <c r="T2" s="207" t="s">
        <v>5</v>
      </c>
    </row>
    <row r="3" spans="1:20" x14ac:dyDescent="0.3">
      <c r="B3" s="162" t="s">
        <v>7</v>
      </c>
      <c r="C3" s="162" t="s">
        <v>8</v>
      </c>
      <c r="D3" s="162" t="s">
        <v>9</v>
      </c>
      <c r="E3" s="207"/>
      <c r="F3" s="207"/>
      <c r="G3" s="161"/>
      <c r="H3" s="161"/>
      <c r="I3" s="162" t="s">
        <v>7</v>
      </c>
      <c r="J3" s="162" t="s">
        <v>8</v>
      </c>
      <c r="K3" s="162" t="s">
        <v>9</v>
      </c>
      <c r="L3" s="207"/>
      <c r="M3" s="207"/>
      <c r="N3" s="161"/>
      <c r="O3" s="161"/>
      <c r="P3" s="162" t="s">
        <v>7</v>
      </c>
      <c r="Q3" s="162" t="s">
        <v>8</v>
      </c>
      <c r="R3" s="162" t="s">
        <v>9</v>
      </c>
      <c r="S3" s="207"/>
      <c r="T3" s="207"/>
    </row>
    <row r="4" spans="1:20" x14ac:dyDescent="0.3">
      <c r="A4" t="s">
        <v>385</v>
      </c>
      <c r="B4" s="5">
        <v>0.112</v>
      </c>
      <c r="C4" s="5">
        <v>0.14000000000000001</v>
      </c>
      <c r="D4" s="5">
        <v>0.106</v>
      </c>
      <c r="E4" s="6">
        <f>(B4+C4+D4)/3</f>
        <v>0.11933333333333333</v>
      </c>
      <c r="F4" s="6">
        <f>(ABS(B4-E4)+ABS(C4-E4)+ABS(D4-E4))/3</f>
        <v>1.3777777777777783E-2</v>
      </c>
      <c r="G4" s="6"/>
      <c r="H4" s="6"/>
      <c r="I4" s="5">
        <v>0.17100000000000001</v>
      </c>
      <c r="J4" s="5">
        <v>9.8000000000000004E-2</v>
      </c>
      <c r="K4" s="5">
        <v>0.13900000000000001</v>
      </c>
      <c r="L4" s="6">
        <f>(I4+J4+K4)/3</f>
        <v>0.13600000000000001</v>
      </c>
      <c r="M4" s="6">
        <f>(ABS(I4-L4)+ABS(J4-' Fig. 2c '!L50)+ABS(K4-L4))/3</f>
        <v>4.5333333333333337E-2</v>
      </c>
      <c r="N4" s="6"/>
      <c r="O4" s="6"/>
      <c r="P4" s="5">
        <v>0.38</v>
      </c>
      <c r="Q4" s="5">
        <v>0.17</v>
      </c>
      <c r="R4" s="5">
        <v>0.24</v>
      </c>
      <c r="S4" s="6">
        <f>(P4+Q4+R4)/3</f>
        <v>0.26333333333333336</v>
      </c>
      <c r="T4" s="6">
        <f>(ABS(P4-S4)+ABS(Q4-S4)+ABS(R4-S4))/3</f>
        <v>7.7777777777777793E-2</v>
      </c>
    </row>
    <row r="5" spans="1:20" x14ac:dyDescent="0.3">
      <c r="A5" t="s">
        <v>383</v>
      </c>
      <c r="B5" s="5">
        <v>0.75</v>
      </c>
      <c r="C5" s="5">
        <v>0.75</v>
      </c>
      <c r="D5" s="5">
        <v>0.82</v>
      </c>
      <c r="E5" s="6">
        <f>(B5+C5+D5)/3</f>
        <v>0.77333333333333332</v>
      </c>
      <c r="F5" s="6">
        <f>(ABS(B5-E5)+ABS(C5-E5)+ABS(D5-E5))/3</f>
        <v>3.1111111111111089E-2</v>
      </c>
      <c r="G5" s="6"/>
      <c r="H5" s="6"/>
      <c r="I5" s="5">
        <v>0.95199999999999996</v>
      </c>
      <c r="J5" s="5">
        <v>0.68899999999999995</v>
      </c>
      <c r="K5" s="5">
        <v>0.82499999999999996</v>
      </c>
      <c r="L5" s="6">
        <f>(I5+J5+K5)/3</f>
        <v>0.82200000000000006</v>
      </c>
      <c r="M5" s="6">
        <f>(ABS(I5-L5)+ABS(J5-' Fig. 2c '!L51)+ABS(K5-L5))/3</f>
        <v>0.27399999999999991</v>
      </c>
      <c r="N5" s="6"/>
      <c r="O5" s="6"/>
      <c r="P5" s="5">
        <v>1.35</v>
      </c>
      <c r="Q5" s="5">
        <v>1.1299999999999999</v>
      </c>
      <c r="R5" s="5">
        <v>1.75</v>
      </c>
      <c r="S5" s="6">
        <f>(P5+Q5+R5)/3</f>
        <v>1.4100000000000001</v>
      </c>
      <c r="T5" s="6">
        <f>(ABS(P5-S5)+ABS(Q5-S5)+ABS(R5-S5))/3</f>
        <v>0.22666666666666671</v>
      </c>
    </row>
    <row r="6" spans="1:20" x14ac:dyDescent="0.3">
      <c r="A6" t="s">
        <v>382</v>
      </c>
      <c r="B6" s="5">
        <v>1.3</v>
      </c>
      <c r="C6" s="5">
        <v>1.66</v>
      </c>
      <c r="D6" s="5">
        <v>1.53</v>
      </c>
      <c r="E6" s="6">
        <f>(B6+C6+D6)/3</f>
        <v>1.4966666666666668</v>
      </c>
      <c r="F6" s="6">
        <f>(ABS(B6-E6)+ABS(C6-E6)+ABS(D6-E6))/3</f>
        <v>0.13111111111111104</v>
      </c>
      <c r="G6" s="6"/>
      <c r="H6" s="6"/>
      <c r="I6" s="5">
        <v>0.82199999999999995</v>
      </c>
      <c r="J6" s="5">
        <v>1.4239999999999999</v>
      </c>
      <c r="K6" s="5">
        <v>1.125</v>
      </c>
      <c r="L6" s="6">
        <f>(I6+J6+K6)/3</f>
        <v>1.1236666666666666</v>
      </c>
      <c r="M6" s="6">
        <f>(ABS(I6-L6)+ABS(J6-' Fig. 2c '!L52)+ABS(K6-L6))/3</f>
        <v>0.57566666666666666</v>
      </c>
      <c r="N6" s="6"/>
      <c r="O6" s="6"/>
      <c r="P6" s="5">
        <v>4.0599999999999996</v>
      </c>
      <c r="Q6" s="5">
        <v>3.23</v>
      </c>
      <c r="R6" s="5">
        <v>3.87</v>
      </c>
      <c r="S6" s="6">
        <f>(P6+Q6+R6)/3</f>
        <v>3.72</v>
      </c>
      <c r="T6" s="6">
        <f>(ABS(P6-S6)+ABS(Q6-S6)+ABS(R6-S6))/3</f>
        <v>0.32666666666666649</v>
      </c>
    </row>
    <row r="7" spans="1:20" x14ac:dyDescent="0.3">
      <c r="A7" t="s">
        <v>384</v>
      </c>
      <c r="B7" s="5">
        <v>2.74</v>
      </c>
      <c r="C7" s="5">
        <v>2.64</v>
      </c>
      <c r="D7" s="5">
        <v>3.19</v>
      </c>
      <c r="E7" s="6">
        <f>(B7+C7+D7)/3</f>
        <v>2.8566666666666669</v>
      </c>
      <c r="F7" s="6">
        <f>(ABS(B7-E7)+ABS(C7-E7)+ABS(D7-E7))/3</f>
        <v>0.22222222222222218</v>
      </c>
      <c r="G7" s="6"/>
      <c r="H7" s="6"/>
      <c r="I7" s="5">
        <v>2.83</v>
      </c>
      <c r="J7" s="5">
        <v>3.004</v>
      </c>
      <c r="K7" s="5">
        <v>1.49</v>
      </c>
      <c r="L7" s="6">
        <f>(I7+J7+K7)/3</f>
        <v>2.4413333333333331</v>
      </c>
      <c r="M7" s="6">
        <f>(ABS(I7-L7)+ABS(J7-' Fig. 2c '!L53)+ABS(K7-L7))/3</f>
        <v>1.4480000000000002</v>
      </c>
      <c r="N7" s="6"/>
      <c r="O7" s="6"/>
      <c r="P7" s="5">
        <v>4.01</v>
      </c>
      <c r="Q7" s="5">
        <v>5.31</v>
      </c>
      <c r="R7" s="5">
        <v>4.0599999999999996</v>
      </c>
      <c r="S7" s="6">
        <f>(P7+Q7+R7)/3</f>
        <v>4.46</v>
      </c>
      <c r="T7" s="6">
        <f>(ABS(P7-S7)+ABS(Q7-S7)+ABS(R7-S7))/3</f>
        <v>0.56666666666666676</v>
      </c>
    </row>
  </sheetData>
  <mergeCells count="12">
    <mergeCell ref="S2:S3"/>
    <mergeCell ref="T2:T3"/>
    <mergeCell ref="B1:F1"/>
    <mergeCell ref="I1:M1"/>
    <mergeCell ref="P1:T1"/>
    <mergeCell ref="B2:D2"/>
    <mergeCell ref="E2:E3"/>
    <mergeCell ref="F2:F3"/>
    <mergeCell ref="I2:K2"/>
    <mergeCell ref="L2:L3"/>
    <mergeCell ref="M2:M3"/>
    <mergeCell ref="P2:R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T44" sqref="T44"/>
    </sheetView>
  </sheetViews>
  <sheetFormatPr defaultRowHeight="14.4" x14ac:dyDescent="0.3"/>
  <cols>
    <col min="1" max="1" width="11.44140625" bestFit="1" customWidth="1"/>
    <col min="2" max="3" width="10.44140625" bestFit="1" customWidth="1"/>
    <col min="4" max="4" width="10.5546875" bestFit="1" customWidth="1"/>
    <col min="7" max="7" width="12.33203125" bestFit="1" customWidth="1"/>
    <col min="8" max="9" width="10.44140625" bestFit="1" customWidth="1"/>
    <col min="10" max="10" width="10.5546875" bestFit="1" customWidth="1"/>
  </cols>
  <sheetData>
    <row r="1" spans="1:11" x14ac:dyDescent="0.3">
      <c r="A1" s="1" t="s">
        <v>335</v>
      </c>
    </row>
    <row r="2" spans="1:11" x14ac:dyDescent="0.3">
      <c r="B2" s="209" t="s">
        <v>327</v>
      </c>
      <c r="C2" s="209"/>
      <c r="D2" s="209"/>
      <c r="E2" s="207" t="s">
        <v>4</v>
      </c>
      <c r="H2" s="209" t="s">
        <v>327</v>
      </c>
      <c r="I2" s="209"/>
      <c r="J2" s="209"/>
      <c r="K2" s="207" t="s">
        <v>4</v>
      </c>
    </row>
    <row r="3" spans="1:11" x14ac:dyDescent="0.3">
      <c r="A3" t="s">
        <v>138</v>
      </c>
      <c r="B3" t="s">
        <v>7</v>
      </c>
      <c r="C3" t="s">
        <v>8</v>
      </c>
      <c r="D3" t="s">
        <v>9</v>
      </c>
      <c r="E3" s="207"/>
      <c r="G3" t="s">
        <v>139</v>
      </c>
      <c r="H3" t="s">
        <v>7</v>
      </c>
      <c r="I3" t="s">
        <v>8</v>
      </c>
      <c r="J3" t="s">
        <v>9</v>
      </c>
      <c r="K3" s="207"/>
    </row>
    <row r="4" spans="1:11" x14ac:dyDescent="0.3">
      <c r="A4">
        <v>10</v>
      </c>
      <c r="B4" s="13">
        <v>5.326E-3</v>
      </c>
      <c r="C4" s="13">
        <v>2.4199999999999998E-3</v>
      </c>
      <c r="D4" s="13">
        <v>1.5579999999999999E-3</v>
      </c>
      <c r="E4" s="15">
        <f>(B4+C4+D4)/3</f>
        <v>3.1013333333333331E-3</v>
      </c>
      <c r="G4">
        <v>10</v>
      </c>
      <c r="H4" s="13">
        <v>7.1209999999999997E-3</v>
      </c>
      <c r="I4" s="13">
        <v>3.5119999999999999E-3</v>
      </c>
      <c r="J4" s="13">
        <v>3.9699999999999996E-3</v>
      </c>
      <c r="K4" s="15">
        <f>(H4+I4+J4)/3</f>
        <v>4.8676666666666668E-3</v>
      </c>
    </row>
    <row r="5" spans="1:11" x14ac:dyDescent="0.3">
      <c r="A5">
        <v>20</v>
      </c>
      <c r="B5" s="13">
        <v>7.6540000000000002E-3</v>
      </c>
      <c r="C5" s="13">
        <v>1.025E-2</v>
      </c>
      <c r="D5" s="13">
        <v>3.5479999999999999E-3</v>
      </c>
      <c r="E5" s="15">
        <f t="shared" ref="E5:E11" si="0">(B5+C5+D5)/3</f>
        <v>7.1506666666666663E-3</v>
      </c>
      <c r="G5">
        <v>20</v>
      </c>
      <c r="H5" s="13">
        <v>1.2534E-2</v>
      </c>
      <c r="I5" s="13">
        <v>7.1209999999999997E-3</v>
      </c>
      <c r="J5" s="13">
        <v>5.2009999999999999E-3</v>
      </c>
      <c r="K5" s="15">
        <f t="shared" ref="K5:K11" si="1">(H5+I5+J5)/3</f>
        <v>8.2853333333333338E-3</v>
      </c>
    </row>
    <row r="6" spans="1:11" x14ac:dyDescent="0.3">
      <c r="A6">
        <v>30</v>
      </c>
      <c r="B6" s="13">
        <v>1.4123E-2</v>
      </c>
      <c r="C6" s="13">
        <v>7.3800000000000003E-3</v>
      </c>
      <c r="D6" s="13">
        <v>1.0127000000000001E-2</v>
      </c>
      <c r="E6" s="15">
        <f t="shared" si="0"/>
        <v>1.0543333333333335E-2</v>
      </c>
      <c r="G6">
        <v>30</v>
      </c>
      <c r="H6" s="13">
        <v>1.1568999999999999E-2</v>
      </c>
      <c r="I6" s="13">
        <v>1.7049999999999999E-2</v>
      </c>
      <c r="J6" s="13">
        <v>7.4070000000000004E-3</v>
      </c>
      <c r="K6" s="15">
        <f t="shared" si="1"/>
        <v>1.2008666666666667E-2</v>
      </c>
    </row>
    <row r="7" spans="1:11" x14ac:dyDescent="0.3">
      <c r="A7">
        <v>50</v>
      </c>
      <c r="B7" s="13">
        <v>2.1547E-2</v>
      </c>
      <c r="C7" s="13">
        <v>1.1254E-2</v>
      </c>
      <c r="D7" s="13">
        <v>1.0813E-2</v>
      </c>
      <c r="E7" s="15">
        <f t="shared" si="0"/>
        <v>1.4538000000000001E-2</v>
      </c>
      <c r="G7">
        <v>50</v>
      </c>
      <c r="H7" s="13">
        <v>2.154E-2</v>
      </c>
      <c r="I7" s="13">
        <v>1.4239999999999999E-2</v>
      </c>
      <c r="J7" s="13">
        <v>1.1939999999999999E-2</v>
      </c>
      <c r="K7" s="15">
        <f t="shared" si="1"/>
        <v>1.5906666666666666E-2</v>
      </c>
    </row>
    <row r="8" spans="1:11" x14ac:dyDescent="0.3">
      <c r="A8">
        <v>75</v>
      </c>
      <c r="B8" s="13">
        <v>2.3761000000000001E-2</v>
      </c>
      <c r="C8" s="13">
        <v>1.985E-2</v>
      </c>
      <c r="D8" s="13">
        <v>1.8995999999999999E-2</v>
      </c>
      <c r="E8" s="15">
        <f t="shared" si="0"/>
        <v>2.0868999999999999E-2</v>
      </c>
      <c r="G8">
        <v>75</v>
      </c>
      <c r="H8" s="13">
        <v>2.546E-2</v>
      </c>
      <c r="I8" s="13">
        <v>1.35E-2</v>
      </c>
      <c r="J8" s="13">
        <v>1.8509999999999999E-2</v>
      </c>
      <c r="K8" s="15">
        <f t="shared" si="1"/>
        <v>1.9156666666666666E-2</v>
      </c>
    </row>
    <row r="9" spans="1:11" x14ac:dyDescent="0.3">
      <c r="A9">
        <v>100</v>
      </c>
      <c r="B9" s="13">
        <v>1.7350000000000001E-2</v>
      </c>
      <c r="C9" s="13">
        <v>3.381E-2</v>
      </c>
      <c r="D9" s="13">
        <v>2.4649999999999998E-2</v>
      </c>
      <c r="E9" s="15">
        <f t="shared" si="0"/>
        <v>2.5269999999999997E-2</v>
      </c>
      <c r="G9">
        <v>100</v>
      </c>
      <c r="H9" s="13">
        <v>3.2210000000000003E-2</v>
      </c>
      <c r="I9" s="13">
        <v>2.095E-2</v>
      </c>
      <c r="J9" s="13">
        <v>1.8610000000000002E-2</v>
      </c>
      <c r="K9" s="15">
        <f t="shared" si="1"/>
        <v>2.3923333333333335E-2</v>
      </c>
    </row>
    <row r="10" spans="1:11" x14ac:dyDescent="0.3">
      <c r="A10">
        <v>150</v>
      </c>
      <c r="B10" s="13">
        <v>3.2980000000000002E-2</v>
      </c>
      <c r="C10" s="13">
        <v>1.9949999999999999E-2</v>
      </c>
      <c r="D10" s="13">
        <v>2.7879999999999999E-2</v>
      </c>
      <c r="E10" s="15">
        <f t="shared" si="0"/>
        <v>2.6936666666666668E-2</v>
      </c>
      <c r="G10">
        <v>150</v>
      </c>
      <c r="H10" s="13">
        <v>3.5130000000000002E-2</v>
      </c>
      <c r="I10" s="13">
        <v>2.5940000000000001E-2</v>
      </c>
      <c r="J10" s="13">
        <v>1.813E-2</v>
      </c>
      <c r="K10" s="15">
        <f t="shared" si="1"/>
        <v>2.6399999999999996E-2</v>
      </c>
    </row>
    <row r="11" spans="1:11" x14ac:dyDescent="0.3">
      <c r="A11">
        <v>200</v>
      </c>
      <c r="B11" s="13">
        <v>2.6970000000000001E-2</v>
      </c>
      <c r="C11" s="13">
        <v>3.4819999999999997E-2</v>
      </c>
      <c r="D11" s="13">
        <v>2.1201000000000001E-2</v>
      </c>
      <c r="E11" s="15">
        <f t="shared" si="0"/>
        <v>2.7663666666666666E-2</v>
      </c>
      <c r="G11">
        <v>200</v>
      </c>
      <c r="H11" s="13">
        <v>3.6510000000000001E-2</v>
      </c>
      <c r="I11" s="13">
        <v>2.1659999999999999E-2</v>
      </c>
      <c r="J11" s="13">
        <v>2.4590000000000001E-2</v>
      </c>
      <c r="K11" s="15">
        <f t="shared" si="1"/>
        <v>2.7586666666666666E-2</v>
      </c>
    </row>
    <row r="12" spans="1:11" x14ac:dyDescent="0.3">
      <c r="E12" s="14"/>
      <c r="K12" s="14"/>
    </row>
    <row r="13" spans="1:11" ht="15.6" x14ac:dyDescent="0.35">
      <c r="A13" s="16" t="s">
        <v>80</v>
      </c>
      <c r="B13" s="13">
        <v>83.692700000000002</v>
      </c>
      <c r="C13" t="s">
        <v>140</v>
      </c>
      <c r="D13" t="s">
        <v>141</v>
      </c>
      <c r="E13" s="14"/>
      <c r="G13" s="16" t="s">
        <v>80</v>
      </c>
      <c r="H13">
        <v>66.724299999999999</v>
      </c>
      <c r="I13" t="s">
        <v>142</v>
      </c>
      <c r="J13" t="s">
        <v>141</v>
      </c>
      <c r="K13" s="14"/>
    </row>
    <row r="14" spans="1:11" ht="16.8" x14ac:dyDescent="0.35">
      <c r="A14" s="16" t="s">
        <v>84</v>
      </c>
      <c r="B14" s="13">
        <v>4.1745400000000002E-2</v>
      </c>
      <c r="C14" t="s">
        <v>143</v>
      </c>
      <c r="D14" t="s">
        <v>144</v>
      </c>
      <c r="E14" s="14"/>
      <c r="G14" s="16" t="s">
        <v>84</v>
      </c>
      <c r="H14">
        <v>3.7600000000000001E-2</v>
      </c>
      <c r="I14" t="s">
        <v>145</v>
      </c>
      <c r="J14" t="s">
        <v>144</v>
      </c>
      <c r="K14" s="14"/>
    </row>
    <row r="15" spans="1:11" ht="16.8" x14ac:dyDescent="0.35">
      <c r="A15" s="17" t="s">
        <v>87</v>
      </c>
      <c r="B15" s="70">
        <f>B14/B13</f>
        <v>4.9879380160993737E-4</v>
      </c>
      <c r="D15" t="s">
        <v>326</v>
      </c>
      <c r="E15" s="14"/>
      <c r="G15" s="17" t="s">
        <v>87</v>
      </c>
      <c r="H15" s="70">
        <f>H14/H13</f>
        <v>5.635128431470994E-4</v>
      </c>
      <c r="J15" t="s">
        <v>326</v>
      </c>
      <c r="K15" s="14"/>
    </row>
    <row r="16" spans="1:11" x14ac:dyDescent="0.3">
      <c r="E16" s="14"/>
      <c r="K16" s="14"/>
    </row>
  </sheetData>
  <mergeCells count="4">
    <mergeCell ref="B2:D2"/>
    <mergeCell ref="E2:E3"/>
    <mergeCell ref="H2:J2"/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C32" sqref="C32"/>
    </sheetView>
  </sheetViews>
  <sheetFormatPr defaultRowHeight="14.4" x14ac:dyDescent="0.3"/>
  <cols>
    <col min="1" max="1" width="11" customWidth="1"/>
    <col min="3" max="3" width="41.44140625" customWidth="1"/>
    <col min="4" max="6" width="10.44140625" bestFit="1" customWidth="1"/>
    <col min="9" max="9" width="17.6640625" bestFit="1" customWidth="1"/>
    <col min="10" max="12" width="10.44140625" bestFit="1" customWidth="1"/>
  </cols>
  <sheetData>
    <row r="1" spans="1:14" x14ac:dyDescent="0.3">
      <c r="A1" s="189"/>
      <c r="B1" s="189"/>
      <c r="C1" s="189"/>
      <c r="D1" s="219" t="s">
        <v>268</v>
      </c>
      <c r="E1" s="220"/>
      <c r="F1" s="220"/>
      <c r="G1" s="189"/>
      <c r="H1" s="189"/>
      <c r="I1" s="189"/>
      <c r="J1" s="219" t="s">
        <v>269</v>
      </c>
      <c r="K1" s="220"/>
      <c r="L1" s="220"/>
      <c r="M1" s="189"/>
      <c r="N1" s="189"/>
    </row>
    <row r="2" spans="1:14" x14ac:dyDescent="0.3">
      <c r="A2" s="189"/>
      <c r="B2" s="189"/>
      <c r="C2" s="189"/>
      <c r="D2" s="220" t="s">
        <v>3</v>
      </c>
      <c r="E2" s="220"/>
      <c r="F2" s="220"/>
      <c r="G2" s="207" t="s">
        <v>4</v>
      </c>
      <c r="H2" s="207" t="s">
        <v>5</v>
      </c>
      <c r="I2" s="208" t="s">
        <v>6</v>
      </c>
      <c r="J2" s="220" t="s">
        <v>3</v>
      </c>
      <c r="K2" s="220"/>
      <c r="L2" s="220"/>
      <c r="M2" s="207" t="s">
        <v>4</v>
      </c>
      <c r="N2" s="207" t="s">
        <v>5</v>
      </c>
    </row>
    <row r="3" spans="1:14" x14ac:dyDescent="0.3">
      <c r="A3" s="200" t="s">
        <v>266</v>
      </c>
      <c r="B3" s="58" t="s">
        <v>257</v>
      </c>
      <c r="C3" s="58" t="s">
        <v>258</v>
      </c>
      <c r="D3" s="193" t="s">
        <v>7</v>
      </c>
      <c r="E3" s="193" t="s">
        <v>8</v>
      </c>
      <c r="F3" s="193" t="s">
        <v>9</v>
      </c>
      <c r="G3" s="215"/>
      <c r="H3" s="215"/>
      <c r="I3" s="221"/>
      <c r="J3" s="193" t="s">
        <v>7</v>
      </c>
      <c r="K3" s="193" t="s">
        <v>8</v>
      </c>
      <c r="L3" s="193" t="s">
        <v>9</v>
      </c>
      <c r="M3" s="215"/>
      <c r="N3" s="215"/>
    </row>
    <row r="4" spans="1:14" x14ac:dyDescent="0.3">
      <c r="A4" s="216" t="s">
        <v>264</v>
      </c>
      <c r="B4" s="204" t="s">
        <v>256</v>
      </c>
      <c r="C4" s="204" t="s">
        <v>340</v>
      </c>
      <c r="D4" s="203">
        <v>14.36</v>
      </c>
      <c r="E4" s="203">
        <v>32.130000000000003</v>
      </c>
      <c r="F4" s="203">
        <v>23.44</v>
      </c>
      <c r="G4" s="191">
        <f>AVERAGE(D4:F4)</f>
        <v>23.310000000000002</v>
      </c>
      <c r="H4" s="191">
        <f t="shared" ref="H4:H11" si="0">(ABS(D4-G4)+ABS(E4-G4)+ABS(F4-G4))/3</f>
        <v>5.9666666666666677</v>
      </c>
      <c r="I4" s="194" t="s">
        <v>11</v>
      </c>
      <c r="J4" s="194" t="s">
        <v>11</v>
      </c>
      <c r="K4" s="194" t="s">
        <v>11</v>
      </c>
      <c r="L4" s="194" t="s">
        <v>11</v>
      </c>
      <c r="M4" s="194" t="s">
        <v>11</v>
      </c>
      <c r="N4" s="194" t="s">
        <v>11</v>
      </c>
    </row>
    <row r="5" spans="1:14" x14ac:dyDescent="0.3">
      <c r="A5" s="217"/>
      <c r="B5" s="205" t="s">
        <v>256</v>
      </c>
      <c r="C5" s="205" t="s">
        <v>341</v>
      </c>
      <c r="D5" s="191">
        <v>19.944800000000001</v>
      </c>
      <c r="E5" s="191">
        <v>34.913400000000003</v>
      </c>
      <c r="F5" s="191">
        <v>27.659199999999998</v>
      </c>
      <c r="G5" s="191">
        <f>AVERAGE(D5:F5)</f>
        <v>27.505800000000004</v>
      </c>
      <c r="H5" s="191">
        <f t="shared" si="0"/>
        <v>5.0406666666666657</v>
      </c>
      <c r="I5" s="191">
        <f t="shared" ref="I5:I11" si="1">G5/G$4</f>
        <v>1.1800000000000002</v>
      </c>
      <c r="J5" s="195" t="s">
        <v>11</v>
      </c>
      <c r="K5" s="195" t="s">
        <v>11</v>
      </c>
      <c r="L5" s="195" t="s">
        <v>11</v>
      </c>
      <c r="M5" s="195" t="s">
        <v>11</v>
      </c>
      <c r="N5" s="195" t="s">
        <v>11</v>
      </c>
    </row>
    <row r="6" spans="1:14" x14ac:dyDescent="0.3">
      <c r="A6" s="217"/>
      <c r="B6" s="205" t="s">
        <v>256</v>
      </c>
      <c r="C6" s="205" t="s">
        <v>342</v>
      </c>
      <c r="D6" s="191">
        <v>39.4848</v>
      </c>
      <c r="E6" s="191">
        <v>80.108400000000003</v>
      </c>
      <c r="F6" s="191">
        <v>67.819199999999995</v>
      </c>
      <c r="G6" s="191">
        <v>62.470799999999997</v>
      </c>
      <c r="H6" s="191">
        <f t="shared" si="0"/>
        <v>15.324</v>
      </c>
      <c r="I6" s="191">
        <f t="shared" si="1"/>
        <v>2.6799999999999997</v>
      </c>
      <c r="J6" s="191">
        <v>0.752</v>
      </c>
      <c r="K6" s="191">
        <v>0.249</v>
      </c>
      <c r="L6" s="191">
        <v>0.59850000000000003</v>
      </c>
      <c r="M6" s="191">
        <f>AVERAGE(J6:L6)</f>
        <v>0.53316666666666668</v>
      </c>
      <c r="N6" s="196">
        <f>(ABS(J6-M6)+ABS(K6-M6)+ABS(L6-M6))/3</f>
        <v>0.18944444444444444</v>
      </c>
    </row>
    <row r="7" spans="1:14" x14ac:dyDescent="0.3">
      <c r="A7" s="217"/>
      <c r="B7" s="205" t="s">
        <v>256</v>
      </c>
      <c r="C7" s="205" t="s">
        <v>343</v>
      </c>
      <c r="D7" s="191">
        <v>97.739295999999996</v>
      </c>
      <c r="E7" s="191">
        <v>133.93896799999999</v>
      </c>
      <c r="F7" s="191">
        <v>146.89478399999999</v>
      </c>
      <c r="G7" s="191">
        <v>126.19101599999999</v>
      </c>
      <c r="H7" s="191">
        <f t="shared" si="0"/>
        <v>18.967813333333329</v>
      </c>
      <c r="I7" s="191">
        <f t="shared" si="1"/>
        <v>5.4135999999999989</v>
      </c>
      <c r="J7" s="191">
        <v>7.4200000000000002E-2</v>
      </c>
      <c r="K7" s="191">
        <v>2.1399999999999999E-2</v>
      </c>
      <c r="L7" s="191">
        <v>1.47E-2</v>
      </c>
      <c r="M7" s="191">
        <f>AVERAGE(J7:L7)</f>
        <v>3.676666666666667E-2</v>
      </c>
      <c r="N7" s="196">
        <f>(ABS(J7-M7)+ABS(K7-M7)+ABS(L7-M7))/3</f>
        <v>2.4955555555555554E-2</v>
      </c>
    </row>
    <row r="8" spans="1:14" x14ac:dyDescent="0.3">
      <c r="A8" s="217"/>
      <c r="B8" s="201" t="s">
        <v>267</v>
      </c>
      <c r="C8" s="201" t="s">
        <v>344</v>
      </c>
      <c r="D8" s="191">
        <v>35.5608</v>
      </c>
      <c r="E8" s="191">
        <v>47.191400000000002</v>
      </c>
      <c r="F8" s="191">
        <v>41.723200000000006</v>
      </c>
      <c r="G8" s="191">
        <v>41.491800000000005</v>
      </c>
      <c r="H8" s="191">
        <f t="shared" si="0"/>
        <v>3.9540000000000006</v>
      </c>
      <c r="I8" s="191">
        <f t="shared" si="1"/>
        <v>1.78</v>
      </c>
      <c r="J8" s="195" t="s">
        <v>11</v>
      </c>
      <c r="K8" s="195" t="s">
        <v>11</v>
      </c>
      <c r="L8" s="195" t="s">
        <v>11</v>
      </c>
      <c r="M8" s="195" t="s">
        <v>11</v>
      </c>
      <c r="N8" s="195" t="s">
        <v>11</v>
      </c>
    </row>
    <row r="9" spans="1:14" x14ac:dyDescent="0.3">
      <c r="A9" s="217"/>
      <c r="B9" s="201" t="s">
        <v>267</v>
      </c>
      <c r="C9" s="201" t="s">
        <v>345</v>
      </c>
      <c r="D9" s="191">
        <v>70.166464000000005</v>
      </c>
      <c r="E9" s="191">
        <v>101.958112</v>
      </c>
      <c r="F9" s="191">
        <v>86.784256000000013</v>
      </c>
      <c r="G9" s="191">
        <v>86.302944000000011</v>
      </c>
      <c r="H9" s="191">
        <f t="shared" si="0"/>
        <v>10.757653333333332</v>
      </c>
      <c r="I9" s="191">
        <f t="shared" si="1"/>
        <v>3.7023999999999999</v>
      </c>
      <c r="J9" s="195" t="s">
        <v>11</v>
      </c>
      <c r="K9" s="195" t="s">
        <v>11</v>
      </c>
      <c r="L9" s="195" t="s">
        <v>11</v>
      </c>
      <c r="M9" s="195" t="s">
        <v>11</v>
      </c>
      <c r="N9" s="195" t="s">
        <v>11</v>
      </c>
    </row>
    <row r="10" spans="1:14" x14ac:dyDescent="0.3">
      <c r="A10" s="217"/>
      <c r="B10" s="201" t="s">
        <v>267</v>
      </c>
      <c r="C10" s="201" t="s">
        <v>346</v>
      </c>
      <c r="D10" s="191">
        <v>70.415087999999997</v>
      </c>
      <c r="E10" s="191">
        <v>92.802003999999997</v>
      </c>
      <c r="F10" s="191">
        <v>52.293151999999999</v>
      </c>
      <c r="G10" s="191">
        <v>71.836747999999986</v>
      </c>
      <c r="H10" s="191">
        <f t="shared" si="0"/>
        <v>13.976837333333329</v>
      </c>
      <c r="I10" s="191">
        <f t="shared" si="1"/>
        <v>3.08179957099957</v>
      </c>
      <c r="J10" s="191">
        <v>6.9849999999999995E-2</v>
      </c>
      <c r="K10" s="191">
        <v>3.2050000000000002E-2</v>
      </c>
      <c r="L10" s="191">
        <v>2.147E-2</v>
      </c>
      <c r="M10" s="191">
        <f>AVERAGE(J10:L10)</f>
        <v>4.1123333333333331E-2</v>
      </c>
      <c r="N10" s="196">
        <f>(ABS(J10-M10)+ABS(K10-M10)+ABS(L10-M10))/3</f>
        <v>1.9151111111111108E-2</v>
      </c>
    </row>
    <row r="11" spans="1:14" x14ac:dyDescent="0.3">
      <c r="A11" s="218"/>
      <c r="B11" s="202" t="s">
        <v>267</v>
      </c>
      <c r="C11" s="202" t="s">
        <v>347</v>
      </c>
      <c r="D11" s="197">
        <v>136.0610848</v>
      </c>
      <c r="E11" s="197">
        <v>188.1206584</v>
      </c>
      <c r="F11" s="197">
        <v>177.9632192</v>
      </c>
      <c r="G11" s="197">
        <v>167.38165413333334</v>
      </c>
      <c r="H11" s="197">
        <f t="shared" si="0"/>
        <v>20.88037955555555</v>
      </c>
      <c r="I11" s="197">
        <f t="shared" si="1"/>
        <v>7.180680143000143</v>
      </c>
      <c r="J11" s="197">
        <v>2.1399999999999999E-2</v>
      </c>
      <c r="K11" s="197">
        <v>1.1039999999999999E-2</v>
      </c>
      <c r="L11" s="197">
        <v>9.5399999999999999E-3</v>
      </c>
      <c r="M11" s="197">
        <f>AVERAGE(J11:L11)</f>
        <v>1.3993333333333332E-2</v>
      </c>
      <c r="N11" s="199">
        <f>(ABS(J11-M11)+ABS(K11-M11)+ABS(L11-M11))/3</f>
        <v>4.937777777777777E-3</v>
      </c>
    </row>
    <row r="12" spans="1:14" x14ac:dyDescent="0.3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</row>
    <row r="13" spans="1:14" x14ac:dyDescent="0.3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</row>
  </sheetData>
  <mergeCells count="10">
    <mergeCell ref="N2:N3"/>
    <mergeCell ref="A4:A11"/>
    <mergeCell ref="D1:F1"/>
    <mergeCell ref="J1:L1"/>
    <mergeCell ref="D2:F2"/>
    <mergeCell ref="G2:G3"/>
    <mergeCell ref="H2:H3"/>
    <mergeCell ref="I2:I3"/>
    <mergeCell ref="M2:M3"/>
    <mergeCell ref="J2:L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P18" sqref="P18"/>
    </sheetView>
  </sheetViews>
  <sheetFormatPr defaultRowHeight="14.4" x14ac:dyDescent="0.3"/>
  <cols>
    <col min="2" max="2" width="10.88671875" bestFit="1" customWidth="1"/>
    <col min="3" max="4" width="10.44140625" bestFit="1" customWidth="1"/>
    <col min="8" max="8" width="10.88671875" bestFit="1" customWidth="1"/>
    <col min="9" max="10" width="10.44140625" bestFit="1" customWidth="1"/>
  </cols>
  <sheetData>
    <row r="1" spans="1:15" x14ac:dyDescent="0.3">
      <c r="B1" s="208" t="s">
        <v>12</v>
      </c>
      <c r="C1" s="208"/>
      <c r="D1" s="208"/>
      <c r="E1" s="208"/>
      <c r="F1" s="208"/>
      <c r="H1" s="208" t="s">
        <v>13</v>
      </c>
      <c r="I1" s="208"/>
      <c r="J1" s="208"/>
      <c r="K1" s="208"/>
      <c r="L1" s="208"/>
      <c r="M1" s="208"/>
      <c r="N1" s="208"/>
      <c r="O1" s="208"/>
    </row>
    <row r="2" spans="1:15" x14ac:dyDescent="0.3">
      <c r="B2" s="222" t="s">
        <v>3</v>
      </c>
      <c r="C2" s="222"/>
      <c r="D2" s="222"/>
      <c r="E2" s="223" t="s">
        <v>4</v>
      </c>
      <c r="F2" s="223" t="s">
        <v>5</v>
      </c>
      <c r="H2" s="222" t="s">
        <v>3</v>
      </c>
      <c r="I2" s="222"/>
      <c r="J2" s="222"/>
      <c r="K2" s="223" t="s">
        <v>4</v>
      </c>
      <c r="L2" s="223" t="s">
        <v>5</v>
      </c>
    </row>
    <row r="3" spans="1:15" x14ac:dyDescent="0.3">
      <c r="B3" s="25" t="s">
        <v>147</v>
      </c>
      <c r="C3" s="25" t="s">
        <v>8</v>
      </c>
      <c r="D3" s="25" t="s">
        <v>9</v>
      </c>
      <c r="E3" s="223"/>
      <c r="F3" s="223"/>
      <c r="H3" s="25" t="s">
        <v>147</v>
      </c>
      <c r="I3" s="25" t="s">
        <v>8</v>
      </c>
      <c r="J3" s="25" t="s">
        <v>9</v>
      </c>
      <c r="K3" s="223"/>
      <c r="L3" s="223"/>
      <c r="M3" t="s">
        <v>6</v>
      </c>
    </row>
    <row r="4" spans="1:15" x14ac:dyDescent="0.3">
      <c r="A4" s="1" t="s">
        <v>2</v>
      </c>
      <c r="B4" s="5">
        <v>9.9999999999999995E-7</v>
      </c>
      <c r="C4" s="5">
        <v>9.9999999999999995E-7</v>
      </c>
      <c r="D4" s="5">
        <v>9.9999999999999995E-7</v>
      </c>
      <c r="E4" s="5">
        <f>AVERAGE(B4:D4)</f>
        <v>9.9999999999999995E-7</v>
      </c>
      <c r="F4" s="5">
        <f>(ABS(B4-E4)+ABS(C4-E4)+ABS(D4-E4))/3</f>
        <v>0</v>
      </c>
      <c r="G4" s="5"/>
      <c r="H4" s="5">
        <v>0.127</v>
      </c>
      <c r="I4" s="5">
        <v>8.7800000000000003E-2</v>
      </c>
      <c r="J4" s="5">
        <v>0.115</v>
      </c>
      <c r="K4" s="5">
        <f>AVERAGE(H4:J4)</f>
        <v>0.10993333333333333</v>
      </c>
      <c r="L4" s="5">
        <f>(ABS(H4-K4)+ABS(I4-K4)+ABS(J4-K4))/3</f>
        <v>1.4755555555555558E-2</v>
      </c>
    </row>
    <row r="5" spans="1:15" x14ac:dyDescent="0.3">
      <c r="A5" s="1" t="s">
        <v>213</v>
      </c>
      <c r="B5" s="5">
        <v>7.5578000000000003</v>
      </c>
      <c r="C5" s="5">
        <v>10.133600000000001</v>
      </c>
      <c r="D5" s="5">
        <v>10.865</v>
      </c>
      <c r="E5" s="5">
        <f>AVERAGE(B5:D5)</f>
        <v>9.5188000000000006</v>
      </c>
      <c r="F5" s="5">
        <f>(ABS(B5-E5)+ABS(C5-E5)+ABS(D5-E5))/3</f>
        <v>1.3073333333333335</v>
      </c>
      <c r="G5" s="5"/>
      <c r="H5" s="5">
        <v>29.42</v>
      </c>
      <c r="I5" s="5">
        <v>19.309999999999999</v>
      </c>
      <c r="J5" s="5">
        <v>25.06</v>
      </c>
      <c r="K5" s="5">
        <f>AVERAGE(H5:J5)</f>
        <v>24.596666666666668</v>
      </c>
      <c r="L5" s="5">
        <f>(ABS(H5-K5)+ABS(I5-K5)+ABS(J5-K5))/3</f>
        <v>3.5244444444444447</v>
      </c>
      <c r="M5" s="9">
        <f>K5/K4</f>
        <v>223.74166161309887</v>
      </c>
    </row>
    <row r="6" spans="1:15" x14ac:dyDescent="0.3">
      <c r="A6" s="1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9"/>
    </row>
    <row r="7" spans="1:15" x14ac:dyDescent="0.3">
      <c r="A7" s="1" t="s">
        <v>1</v>
      </c>
      <c r="B7" s="5">
        <v>1.0000000000000001E-5</v>
      </c>
      <c r="C7" s="5">
        <v>1.0000000000000001E-5</v>
      </c>
      <c r="D7" s="5">
        <v>1.0000000000000001E-5</v>
      </c>
      <c r="E7" s="5">
        <f>AVERAGE(B7:D7)</f>
        <v>1.0000000000000001E-5</v>
      </c>
      <c r="F7" s="5">
        <f>(ABS(B7-E7)+ABS(C7-E7)+ABS(D7-E7))/3</f>
        <v>0</v>
      </c>
      <c r="G7" s="5"/>
      <c r="H7" s="5">
        <v>2.5299999999999998</v>
      </c>
      <c r="I7" s="5">
        <v>2.4</v>
      </c>
      <c r="J7" s="5">
        <v>2.5099999999999998</v>
      </c>
      <c r="K7" s="5">
        <v>2.48</v>
      </c>
      <c r="L7" s="5">
        <f>(ABS(H7-K7)+ABS(I7-K7)+ABS(J7-K7))/3</f>
        <v>5.3333333333333233E-2</v>
      </c>
      <c r="M7" s="9"/>
    </row>
    <row r="8" spans="1:15" x14ac:dyDescent="0.3">
      <c r="A8" s="1" t="s">
        <v>206</v>
      </c>
      <c r="B8" s="5">
        <v>24.36</v>
      </c>
      <c r="C8" s="5">
        <v>28.13</v>
      </c>
      <c r="D8" s="5">
        <v>31.44</v>
      </c>
      <c r="E8" s="5">
        <f>AVERAGE(B8:D8)</f>
        <v>27.976666666666663</v>
      </c>
      <c r="F8" s="5">
        <f>(ABS(B8-E8)+ABS(C8-E8)+ABS(D8-E8))/3</f>
        <v>2.4111111111111128</v>
      </c>
      <c r="G8" s="5"/>
      <c r="H8" s="5">
        <v>53.314199999999992</v>
      </c>
      <c r="I8" s="5">
        <v>73.912500000000009</v>
      </c>
      <c r="J8" s="5">
        <v>66.695400000000006</v>
      </c>
      <c r="K8" s="5">
        <f>AVERAGE(H8:J8)</f>
        <v>64.640699999999995</v>
      </c>
      <c r="L8" s="5">
        <f>(ABS(H8-K8)+ABS(I8-K8)+ABS(J8-K8))/3</f>
        <v>7.551000000000009</v>
      </c>
      <c r="M8" s="9">
        <f>K8/K7</f>
        <v>26.064798387096772</v>
      </c>
      <c r="N8" s="8"/>
    </row>
    <row r="10" spans="1:15" x14ac:dyDescent="0.3">
      <c r="D10" s="8"/>
    </row>
  </sheetData>
  <mergeCells count="8">
    <mergeCell ref="B1:F1"/>
    <mergeCell ref="H1:O1"/>
    <mergeCell ref="B2:D2"/>
    <mergeCell ref="E2:E3"/>
    <mergeCell ref="F2:F3"/>
    <mergeCell ref="H2:J2"/>
    <mergeCell ref="K2:K3"/>
    <mergeCell ref="L2:L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N14" sqref="N14"/>
    </sheetView>
  </sheetViews>
  <sheetFormatPr defaultRowHeight="14.4" x14ac:dyDescent="0.3"/>
  <cols>
    <col min="1" max="1" width="14.5546875" bestFit="1" customWidth="1"/>
    <col min="2" max="2" width="10.88671875" bestFit="1" customWidth="1"/>
    <col min="3" max="4" width="10.44140625" bestFit="1" customWidth="1"/>
    <col min="5" max="5" width="10.88671875" bestFit="1" customWidth="1"/>
    <col min="6" max="7" width="10.44140625" bestFit="1" customWidth="1"/>
  </cols>
  <sheetData>
    <row r="1" spans="1:9" x14ac:dyDescent="0.3">
      <c r="A1" s="189"/>
      <c r="B1" s="208" t="s">
        <v>12</v>
      </c>
      <c r="C1" s="208"/>
      <c r="D1" s="208"/>
      <c r="E1" s="208"/>
      <c r="F1" s="208"/>
      <c r="G1" s="208"/>
      <c r="H1" s="208"/>
      <c r="I1" s="208"/>
    </row>
    <row r="2" spans="1:9" x14ac:dyDescent="0.3">
      <c r="A2" s="189"/>
      <c r="B2" s="220" t="s">
        <v>3</v>
      </c>
      <c r="C2" s="220"/>
      <c r="D2" s="220"/>
      <c r="E2" s="220" t="s">
        <v>146</v>
      </c>
      <c r="F2" s="220"/>
      <c r="G2" s="220"/>
      <c r="H2" s="220"/>
      <c r="I2" s="220"/>
    </row>
    <row r="3" spans="1:9" x14ac:dyDescent="0.3">
      <c r="A3" s="187" t="s">
        <v>19</v>
      </c>
      <c r="B3" s="190" t="s">
        <v>147</v>
      </c>
      <c r="C3" s="190" t="s">
        <v>8</v>
      </c>
      <c r="D3" s="190" t="s">
        <v>9</v>
      </c>
      <c r="E3" s="190" t="s">
        <v>147</v>
      </c>
      <c r="F3" s="190" t="s">
        <v>8</v>
      </c>
      <c r="G3" s="190" t="s">
        <v>9</v>
      </c>
      <c r="H3" s="186" t="s">
        <v>4</v>
      </c>
      <c r="I3" s="186" t="s">
        <v>5</v>
      </c>
    </row>
    <row r="4" spans="1:9" x14ac:dyDescent="0.3">
      <c r="A4" s="192" t="s">
        <v>23</v>
      </c>
      <c r="B4" s="189">
        <v>18.309999999999999</v>
      </c>
      <c r="C4" s="191">
        <v>24.31</v>
      </c>
      <c r="D4" s="191">
        <v>19.14</v>
      </c>
      <c r="E4" s="191">
        <f t="shared" ref="E4:G9" si="0">B4/B$4*100</f>
        <v>100</v>
      </c>
      <c r="F4" s="191">
        <f t="shared" si="0"/>
        <v>100</v>
      </c>
      <c r="G4" s="191">
        <f t="shared" si="0"/>
        <v>100</v>
      </c>
      <c r="H4" s="191">
        <f t="shared" ref="H4:H9" si="1">(E4+F4+G4)/3</f>
        <v>100</v>
      </c>
      <c r="I4" s="191">
        <f t="shared" ref="I4:I9" si="2">(ABS(E4-H4)+ABS(F4-H4)+ABS(G4-H4))/3</f>
        <v>0</v>
      </c>
    </row>
    <row r="5" spans="1:9" x14ac:dyDescent="0.3">
      <c r="A5" s="192" t="s">
        <v>37</v>
      </c>
      <c r="B5" s="191">
        <v>5.8999999999999997E-2</v>
      </c>
      <c r="C5" s="191">
        <v>6.8000000000000005E-2</v>
      </c>
      <c r="D5" s="191">
        <v>0.114</v>
      </c>
      <c r="E5" s="191">
        <f t="shared" si="0"/>
        <v>0.32222829055161117</v>
      </c>
      <c r="F5" s="191">
        <f t="shared" si="0"/>
        <v>0.27972027972027974</v>
      </c>
      <c r="G5" s="191">
        <f t="shared" si="0"/>
        <v>0.59561128526645768</v>
      </c>
      <c r="H5" s="191">
        <f t="shared" si="1"/>
        <v>0.39918661851278286</v>
      </c>
      <c r="I5" s="191">
        <f t="shared" si="2"/>
        <v>0.13094977783578321</v>
      </c>
    </row>
    <row r="6" spans="1:9" x14ac:dyDescent="0.3">
      <c r="A6" s="192" t="s">
        <v>38</v>
      </c>
      <c r="B6" s="191">
        <v>5.0999999999999997E-2</v>
      </c>
      <c r="C6" s="191">
        <v>3.3000000000000002E-2</v>
      </c>
      <c r="D6" s="191">
        <v>4.1000000000000002E-2</v>
      </c>
      <c r="E6" s="191">
        <f>B6/B$4*100</f>
        <v>0.27853631895139269</v>
      </c>
      <c r="F6" s="191">
        <f t="shared" si="0"/>
        <v>0.13574660633484165</v>
      </c>
      <c r="G6" s="191">
        <f t="shared" si="0"/>
        <v>0.2142110762800418</v>
      </c>
      <c r="H6" s="191">
        <f t="shared" si="1"/>
        <v>0.20949800052209203</v>
      </c>
      <c r="I6" s="191">
        <f t="shared" si="2"/>
        <v>4.9167596124833603E-2</v>
      </c>
    </row>
    <row r="7" spans="1:9" x14ac:dyDescent="0.3">
      <c r="A7" s="192" t="s">
        <v>40</v>
      </c>
      <c r="B7" s="191">
        <v>5.2999999999999999E-2</v>
      </c>
      <c r="C7" s="191">
        <v>4.4999999999999998E-2</v>
      </c>
      <c r="D7" s="191">
        <v>2.4E-2</v>
      </c>
      <c r="E7" s="191">
        <f>B7/B$4*100</f>
        <v>0.2894593118514473</v>
      </c>
      <c r="F7" s="191">
        <f t="shared" si="0"/>
        <v>0.18510900863842042</v>
      </c>
      <c r="G7" s="191">
        <f t="shared" si="0"/>
        <v>0.12539184952978058</v>
      </c>
      <c r="H7" s="191">
        <f t="shared" si="1"/>
        <v>0.19998672333988277</v>
      </c>
      <c r="I7" s="191">
        <f t="shared" si="2"/>
        <v>5.9648392341043022E-2</v>
      </c>
    </row>
    <row r="8" spans="1:9" x14ac:dyDescent="0.3">
      <c r="A8" s="192" t="s">
        <v>41</v>
      </c>
      <c r="B8" s="191">
        <v>3.5000000000000003E-2</v>
      </c>
      <c r="C8" s="191">
        <v>5.7000000000000002E-2</v>
      </c>
      <c r="D8" s="191">
        <v>0.05</v>
      </c>
      <c r="E8" s="191">
        <f>B8/B$4*100</f>
        <v>0.19115237575095578</v>
      </c>
      <c r="F8" s="191">
        <f t="shared" si="0"/>
        <v>0.23447141094199922</v>
      </c>
      <c r="G8" s="191">
        <f t="shared" si="0"/>
        <v>0.2612330198537095</v>
      </c>
      <c r="H8" s="191">
        <f t="shared" si="1"/>
        <v>0.22895226884888817</v>
      </c>
      <c r="I8" s="191">
        <f t="shared" si="2"/>
        <v>2.5199928731954924E-2</v>
      </c>
    </row>
    <row r="9" spans="1:9" x14ac:dyDescent="0.3">
      <c r="A9" s="192" t="s">
        <v>42</v>
      </c>
      <c r="B9" s="191">
        <v>4.2999999999999997E-2</v>
      </c>
      <c r="C9" s="191">
        <v>4.7E-2</v>
      </c>
      <c r="D9" s="191">
        <v>3.2000000000000001E-2</v>
      </c>
      <c r="E9" s="191">
        <f>B9/B$4*100</f>
        <v>0.23484434735117424</v>
      </c>
      <c r="F9" s="191">
        <f t="shared" si="0"/>
        <v>0.19333607568901687</v>
      </c>
      <c r="G9" s="191">
        <f t="shared" si="0"/>
        <v>0.16718913270637409</v>
      </c>
      <c r="H9" s="191">
        <f t="shared" si="1"/>
        <v>0.19845651858218841</v>
      </c>
      <c r="I9" s="191">
        <f t="shared" si="2"/>
        <v>2.4258552512657228E-2</v>
      </c>
    </row>
    <row r="10" spans="1:9" x14ac:dyDescent="0.3">
      <c r="A10" s="189"/>
      <c r="B10" s="189"/>
      <c r="C10" s="189"/>
      <c r="D10" s="189"/>
      <c r="E10" s="189"/>
      <c r="F10" s="189"/>
      <c r="G10" s="189"/>
      <c r="H10" s="189"/>
      <c r="I10" s="189"/>
    </row>
    <row r="11" spans="1:9" x14ac:dyDescent="0.3">
      <c r="A11" s="189"/>
      <c r="B11" s="189"/>
      <c r="C11" s="189"/>
      <c r="D11" s="189"/>
      <c r="E11" s="189"/>
      <c r="F11" s="189"/>
      <c r="G11" s="189"/>
      <c r="H11" s="189"/>
      <c r="I11" s="189"/>
    </row>
    <row r="12" spans="1:9" x14ac:dyDescent="0.3">
      <c r="A12" s="189"/>
      <c r="B12" s="208" t="s">
        <v>13</v>
      </c>
      <c r="C12" s="208"/>
      <c r="D12" s="208"/>
      <c r="E12" s="208"/>
      <c r="F12" s="208"/>
      <c r="G12" s="208"/>
      <c r="H12" s="208"/>
      <c r="I12" s="208"/>
    </row>
    <row r="13" spans="1:9" x14ac:dyDescent="0.3">
      <c r="A13" s="189"/>
      <c r="B13" s="220" t="s">
        <v>3</v>
      </c>
      <c r="C13" s="220"/>
      <c r="D13" s="220"/>
      <c r="E13" s="220" t="s">
        <v>146</v>
      </c>
      <c r="F13" s="220"/>
      <c r="G13" s="220"/>
      <c r="H13" s="220"/>
      <c r="I13" s="220"/>
    </row>
    <row r="14" spans="1:9" x14ac:dyDescent="0.3">
      <c r="A14" s="187" t="s">
        <v>19</v>
      </c>
      <c r="B14" s="190" t="s">
        <v>147</v>
      </c>
      <c r="C14" s="190" t="s">
        <v>8</v>
      </c>
      <c r="D14" s="190" t="s">
        <v>9</v>
      </c>
      <c r="E14" s="190" t="s">
        <v>147</v>
      </c>
      <c r="F14" s="190" t="s">
        <v>8</v>
      </c>
      <c r="G14" s="190" t="s">
        <v>9</v>
      </c>
      <c r="H14" s="186" t="s">
        <v>4</v>
      </c>
      <c r="I14" s="186" t="s">
        <v>5</v>
      </c>
    </row>
    <row r="15" spans="1:9" x14ac:dyDescent="0.3">
      <c r="A15" s="192" t="s">
        <v>23</v>
      </c>
      <c r="B15" s="191">
        <v>23.71</v>
      </c>
      <c r="C15" s="189">
        <v>36.01</v>
      </c>
      <c r="D15" s="191">
        <v>32.24</v>
      </c>
      <c r="E15" s="189">
        <f t="shared" ref="E15:G20" si="3">B15/B$15*100</f>
        <v>100</v>
      </c>
      <c r="F15" s="189">
        <f t="shared" si="3"/>
        <v>100</v>
      </c>
      <c r="G15" s="189">
        <f t="shared" si="3"/>
        <v>100</v>
      </c>
      <c r="H15" s="189">
        <f t="shared" ref="H15:H20" si="4">(E15+F15+G15)/3</f>
        <v>100</v>
      </c>
      <c r="I15" s="189">
        <f t="shared" ref="I15:I20" si="5">(ABS(E15-H15)+ABS(F15-H15)+ABS(G15-H15))/3</f>
        <v>0</v>
      </c>
    </row>
    <row r="16" spans="1:9" x14ac:dyDescent="0.3">
      <c r="A16" s="192" t="s">
        <v>37</v>
      </c>
      <c r="B16" s="191">
        <v>9.8000000000000004E-2</v>
      </c>
      <c r="C16" s="191">
        <v>5.1999999999999998E-2</v>
      </c>
      <c r="D16" s="191">
        <v>0.13333333333333333</v>
      </c>
      <c r="E16" s="191">
        <f t="shared" si="3"/>
        <v>0.41332770982707723</v>
      </c>
      <c r="F16" s="191">
        <f t="shared" si="3"/>
        <v>0.1444043321299639</v>
      </c>
      <c r="G16" s="191">
        <f t="shared" si="3"/>
        <v>0.41356492969396197</v>
      </c>
      <c r="H16" s="191">
        <f t="shared" si="4"/>
        <v>0.32376565721700101</v>
      </c>
      <c r="I16" s="191">
        <f t="shared" si="5"/>
        <v>0.11957421672469143</v>
      </c>
    </row>
    <row r="17" spans="1:9" x14ac:dyDescent="0.3">
      <c r="A17" s="192" t="s">
        <v>38</v>
      </c>
      <c r="B17" s="191">
        <v>0.42199999999999999</v>
      </c>
      <c r="C17" s="191">
        <v>0.39200000000000002</v>
      </c>
      <c r="D17" s="191">
        <v>0.36557496360989811</v>
      </c>
      <c r="E17" s="191">
        <f t="shared" si="3"/>
        <v>1.7798397300716997</v>
      </c>
      <c r="F17" s="191">
        <f t="shared" si="3"/>
        <v>1.0885865037489588</v>
      </c>
      <c r="G17" s="191">
        <f t="shared" si="3"/>
        <v>1.1339173809240015</v>
      </c>
      <c r="H17" s="191">
        <f t="shared" si="4"/>
        <v>1.33411453824822</v>
      </c>
      <c r="I17" s="191">
        <f t="shared" si="5"/>
        <v>0.29715012788231981</v>
      </c>
    </row>
    <row r="18" spans="1:9" x14ac:dyDescent="0.3">
      <c r="A18" s="192" t="s">
        <v>40</v>
      </c>
      <c r="B18" s="191">
        <v>0.66200000000000003</v>
      </c>
      <c r="C18" s="191">
        <v>0.82099999999999995</v>
      </c>
      <c r="D18" s="191">
        <v>0.73084848484848497</v>
      </c>
      <c r="E18" s="191">
        <f t="shared" si="3"/>
        <v>2.7920708561788277</v>
      </c>
      <c r="F18" s="191">
        <f t="shared" si="3"/>
        <v>2.2799222438211606</v>
      </c>
      <c r="G18" s="191">
        <f t="shared" si="3"/>
        <v>2.2668997668997672</v>
      </c>
      <c r="H18" s="191">
        <f t="shared" si="4"/>
        <v>2.4462976222999182</v>
      </c>
      <c r="I18" s="191">
        <f t="shared" si="5"/>
        <v>0.23051548925260601</v>
      </c>
    </row>
    <row r="19" spans="1:9" x14ac:dyDescent="0.3">
      <c r="A19" s="192" t="s">
        <v>41</v>
      </c>
      <c r="B19" s="191">
        <v>6.0999999999999999E-2</v>
      </c>
      <c r="C19" s="191">
        <v>0.1</v>
      </c>
      <c r="D19" s="191">
        <v>0.10625000000000001</v>
      </c>
      <c r="E19" s="191">
        <f t="shared" si="3"/>
        <v>0.25727541121889497</v>
      </c>
      <c r="F19" s="191">
        <f t="shared" si="3"/>
        <v>0.27770063871146911</v>
      </c>
      <c r="G19" s="191">
        <f t="shared" si="3"/>
        <v>0.32955955334987597</v>
      </c>
      <c r="H19" s="191">
        <f t="shared" si="4"/>
        <v>0.28817853442674668</v>
      </c>
      <c r="I19" s="191">
        <f t="shared" si="5"/>
        <v>2.7587345948752857E-2</v>
      </c>
    </row>
    <row r="20" spans="1:9" x14ac:dyDescent="0.3">
      <c r="A20" s="192" t="s">
        <v>42</v>
      </c>
      <c r="B20" s="191">
        <v>0.24548736462093865</v>
      </c>
      <c r="C20" s="191">
        <v>0.33200000000000002</v>
      </c>
      <c r="D20" s="191">
        <v>0.29602888086642598</v>
      </c>
      <c r="E20" s="191">
        <f t="shared" si="3"/>
        <v>1.0353747980638492</v>
      </c>
      <c r="F20" s="191">
        <f t="shared" si="3"/>
        <v>0.92196612052207727</v>
      </c>
      <c r="G20" s="191">
        <f t="shared" si="3"/>
        <v>0.91820372477179268</v>
      </c>
      <c r="H20" s="191">
        <f t="shared" si="4"/>
        <v>0.95851488111923977</v>
      </c>
      <c r="I20" s="191">
        <f t="shared" si="5"/>
        <v>5.1239944629739687E-2</v>
      </c>
    </row>
  </sheetData>
  <mergeCells count="6">
    <mergeCell ref="B1:I1"/>
    <mergeCell ref="B2:D2"/>
    <mergeCell ref="E2:I2"/>
    <mergeCell ref="B12:I12"/>
    <mergeCell ref="B13:D13"/>
    <mergeCell ref="E13:I1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D19" sqref="D19"/>
    </sheetView>
  </sheetViews>
  <sheetFormatPr defaultRowHeight="14.4" x14ac:dyDescent="0.3"/>
  <cols>
    <col min="3" max="3" width="47.88671875" customWidth="1"/>
    <col min="4" max="6" width="10.44140625" bestFit="1" customWidth="1"/>
    <col min="9" max="9" width="17.6640625" customWidth="1"/>
    <col min="10" max="12" width="10.44140625" bestFit="1" customWidth="1"/>
  </cols>
  <sheetData>
    <row r="1" spans="1:15" x14ac:dyDescent="0.3">
      <c r="D1" s="227" t="s">
        <v>268</v>
      </c>
      <c r="E1" s="209"/>
      <c r="F1" s="209"/>
      <c r="J1" s="227" t="s">
        <v>269</v>
      </c>
      <c r="K1" s="209"/>
      <c r="L1" s="209"/>
    </row>
    <row r="2" spans="1:15" x14ac:dyDescent="0.3">
      <c r="D2" s="209" t="s">
        <v>3</v>
      </c>
      <c r="E2" s="209"/>
      <c r="F2" s="209"/>
      <c r="G2" s="207" t="s">
        <v>4</v>
      </c>
      <c r="H2" s="207" t="s">
        <v>5</v>
      </c>
      <c r="I2" s="208" t="s">
        <v>6</v>
      </c>
      <c r="J2" s="209" t="s">
        <v>3</v>
      </c>
      <c r="K2" s="209"/>
      <c r="L2" s="209"/>
      <c r="M2" s="207" t="s">
        <v>4</v>
      </c>
      <c r="N2" s="207" t="s">
        <v>5</v>
      </c>
    </row>
    <row r="3" spans="1:15" x14ac:dyDescent="0.3">
      <c r="B3" s="58" t="s">
        <v>257</v>
      </c>
      <c r="C3" s="1" t="s">
        <v>258</v>
      </c>
      <c r="D3" s="3" t="s">
        <v>7</v>
      </c>
      <c r="E3" s="3" t="s">
        <v>8</v>
      </c>
      <c r="F3" s="3" t="s">
        <v>9</v>
      </c>
      <c r="G3" s="207"/>
      <c r="H3" s="207"/>
      <c r="I3" s="208"/>
      <c r="J3" s="68" t="s">
        <v>7</v>
      </c>
      <c r="K3" s="68" t="s">
        <v>8</v>
      </c>
      <c r="L3" s="68" t="s">
        <v>9</v>
      </c>
      <c r="M3" s="215"/>
      <c r="N3" s="215"/>
    </row>
    <row r="4" spans="1:15" x14ac:dyDescent="0.3">
      <c r="A4" s="224" t="s">
        <v>264</v>
      </c>
      <c r="B4" s="59" t="s">
        <v>256</v>
      </c>
      <c r="C4" s="59" t="s">
        <v>259</v>
      </c>
      <c r="D4" s="62">
        <v>24.36</v>
      </c>
      <c r="E4" s="62">
        <v>18.13</v>
      </c>
      <c r="F4" s="62">
        <v>41.44</v>
      </c>
      <c r="G4" s="62">
        <f>(D4+E4+F4)/3</f>
        <v>27.976666666666663</v>
      </c>
      <c r="H4" s="62">
        <f>(ABS(D4-G4)+ABS(E4-G4)+ABS(F4-G4))/3</f>
        <v>8.9755555555555535</v>
      </c>
      <c r="I4" s="66" t="s">
        <v>11</v>
      </c>
      <c r="J4" s="67" t="s">
        <v>11</v>
      </c>
      <c r="K4" s="67" t="s">
        <v>11</v>
      </c>
      <c r="L4" s="67" t="s">
        <v>11</v>
      </c>
      <c r="M4" s="67" t="s">
        <v>11</v>
      </c>
      <c r="N4" s="67" t="s">
        <v>11</v>
      </c>
    </row>
    <row r="5" spans="1:15" x14ac:dyDescent="0.3">
      <c r="A5" s="225"/>
      <c r="B5" s="57" t="s">
        <v>256</v>
      </c>
      <c r="C5" s="57" t="s">
        <v>260</v>
      </c>
      <c r="D5" s="9">
        <v>31.401</v>
      </c>
      <c r="E5" s="9">
        <v>36.502000000000002</v>
      </c>
      <c r="F5" s="9">
        <v>28.283000000000001</v>
      </c>
      <c r="G5" s="9">
        <f>(D5+E5+F5)/3</f>
        <v>32.062000000000005</v>
      </c>
      <c r="H5" s="9">
        <f>(ABS(D5-G5)+ABS(E5-G5)+ABS(F5-G5))/3</f>
        <v>2.9600000000000022</v>
      </c>
      <c r="I5" s="9">
        <f>G5/G$4</f>
        <v>1.1460264506136069</v>
      </c>
      <c r="J5" s="67" t="s">
        <v>11</v>
      </c>
      <c r="K5" s="67" t="s">
        <v>11</v>
      </c>
      <c r="L5" s="67" t="s">
        <v>11</v>
      </c>
      <c r="M5" s="67" t="s">
        <v>11</v>
      </c>
      <c r="N5" s="67" t="s">
        <v>11</v>
      </c>
    </row>
    <row r="6" spans="1:15" x14ac:dyDescent="0.3">
      <c r="A6" s="225"/>
      <c r="B6" s="57" t="s">
        <v>256</v>
      </c>
      <c r="C6" s="57" t="s">
        <v>261</v>
      </c>
      <c r="D6" s="9">
        <v>19.89</v>
      </c>
      <c r="E6" s="9">
        <v>24.17</v>
      </c>
      <c r="F6" s="9">
        <v>43.59</v>
      </c>
      <c r="G6" s="9">
        <f>(D6+E6+F6)/3</f>
        <v>29.216666666666669</v>
      </c>
      <c r="H6" s="9">
        <f>(ABS(D6-G6)+ABS(E6-G6)+ABS(F6-G6))/3</f>
        <v>9.5822222222222226</v>
      </c>
      <c r="I6" s="9">
        <f>G6/G$4</f>
        <v>1.0443226498272371</v>
      </c>
      <c r="J6" s="67" t="s">
        <v>11</v>
      </c>
      <c r="K6" s="67" t="s">
        <v>11</v>
      </c>
      <c r="L6" s="67" t="s">
        <v>11</v>
      </c>
      <c r="M6" s="67" t="s">
        <v>11</v>
      </c>
      <c r="N6" s="67" t="s">
        <v>11</v>
      </c>
    </row>
    <row r="7" spans="1:15" x14ac:dyDescent="0.3">
      <c r="A7" s="225"/>
      <c r="B7" s="57" t="s">
        <v>256</v>
      </c>
      <c r="C7" s="57" t="s">
        <v>389</v>
      </c>
      <c r="D7" s="9">
        <v>53.314199999999992</v>
      </c>
      <c r="E7" s="9">
        <v>73.912999999999997</v>
      </c>
      <c r="F7" s="9">
        <v>66.694999999999993</v>
      </c>
      <c r="G7" s="9">
        <f>(D7+E7+F7)/3</f>
        <v>64.64073333333333</v>
      </c>
      <c r="H7" s="9">
        <f>(ABS(D7-G7)+ABS(E7-G7)+ABS(F7-G7))/3</f>
        <v>7.5510222222222225</v>
      </c>
      <c r="I7" s="9">
        <f>G7/G$4</f>
        <v>2.3105230549267248</v>
      </c>
      <c r="J7" s="5">
        <v>0.53200000000000003</v>
      </c>
      <c r="K7" s="5">
        <v>0.214</v>
      </c>
      <c r="L7" s="5">
        <v>9.6000000000000002E-2</v>
      </c>
      <c r="M7" s="5">
        <f t="shared" ref="M7:M13" si="0">(J7+K7+L7)/3</f>
        <v>0.28066666666666668</v>
      </c>
      <c r="N7" s="5">
        <f t="shared" ref="N7:N13" si="1">(ABS(J7-M7)+ABS(K7-M7)+ABS(L7-M7))/3</f>
        <v>0.16755555555555557</v>
      </c>
      <c r="O7" s="69"/>
    </row>
    <row r="8" spans="1:15" x14ac:dyDescent="0.3">
      <c r="A8" s="225"/>
      <c r="B8" s="57" t="s">
        <v>256</v>
      </c>
      <c r="C8" s="57" t="s">
        <v>388</v>
      </c>
      <c r="D8" s="9">
        <v>70.97</v>
      </c>
      <c r="E8" s="9">
        <v>148.04</v>
      </c>
      <c r="F8" s="9">
        <v>130.05000000000001</v>
      </c>
      <c r="G8" s="9">
        <f t="shared" ref="G8:G13" si="2">(D8+E8+F8)/3</f>
        <v>116.35333333333334</v>
      </c>
      <c r="H8" s="9">
        <f t="shared" ref="H8:H13" si="3">(ABS(D8-G8)+ABS(E8-G8)+ABS(F8-G8))/3</f>
        <v>30.255555555555556</v>
      </c>
      <c r="I8" s="9">
        <f>G8/G$4</f>
        <v>4.158941975455738</v>
      </c>
      <c r="J8" s="5">
        <v>4.8899999999999999E-2</v>
      </c>
      <c r="K8" s="5">
        <v>1.95E-2</v>
      </c>
      <c r="L8" s="5">
        <v>1.01E-2</v>
      </c>
      <c r="M8" s="5">
        <f t="shared" si="0"/>
        <v>2.6166666666666668E-2</v>
      </c>
      <c r="N8" s="5">
        <f t="shared" si="1"/>
        <v>1.5155555555555556E-2</v>
      </c>
      <c r="O8" s="69"/>
    </row>
    <row r="9" spans="1:15" x14ac:dyDescent="0.3">
      <c r="A9" s="226"/>
      <c r="B9" s="60" t="s">
        <v>256</v>
      </c>
      <c r="C9" s="60" t="s">
        <v>343</v>
      </c>
      <c r="D9" s="9">
        <v>101.89</v>
      </c>
      <c r="E9" s="9">
        <v>150.74</v>
      </c>
      <c r="F9" s="9">
        <v>151.79</v>
      </c>
      <c r="G9" s="9">
        <f t="shared" si="2"/>
        <v>134.80666666666664</v>
      </c>
      <c r="H9" s="9">
        <f t="shared" si="3"/>
        <v>21.944444444444454</v>
      </c>
      <c r="I9" s="63">
        <f>G9/G$4</f>
        <v>4.818539258906231</v>
      </c>
      <c r="J9" s="64">
        <v>2.1999999999999999E-2</v>
      </c>
      <c r="K9" s="64">
        <v>1.9800000000000002E-2</v>
      </c>
      <c r="L9" s="64">
        <v>1.52E-2</v>
      </c>
      <c r="M9" s="64">
        <f t="shared" si="0"/>
        <v>1.9E-2</v>
      </c>
      <c r="N9" s="64">
        <f t="shared" si="1"/>
        <v>2.5333333333333336E-3</v>
      </c>
      <c r="O9" s="69"/>
    </row>
    <row r="10" spans="1:15" x14ac:dyDescent="0.3">
      <c r="A10" s="224" t="s">
        <v>265</v>
      </c>
      <c r="B10" s="57" t="s">
        <v>256</v>
      </c>
      <c r="C10" s="57" t="s">
        <v>262</v>
      </c>
      <c r="D10" s="62">
        <v>14.086</v>
      </c>
      <c r="E10" s="62">
        <v>22.292999999999999</v>
      </c>
      <c r="F10" s="62">
        <v>16.643000000000001</v>
      </c>
      <c r="G10" s="62">
        <f t="shared" si="2"/>
        <v>17.673999999999999</v>
      </c>
      <c r="H10" s="62">
        <f t="shared" si="3"/>
        <v>3.0793333333333326</v>
      </c>
      <c r="I10" s="65" t="s">
        <v>11</v>
      </c>
      <c r="J10" s="65" t="s">
        <v>11</v>
      </c>
      <c r="K10" s="65" t="s">
        <v>11</v>
      </c>
      <c r="L10" s="65" t="s">
        <v>11</v>
      </c>
      <c r="M10" s="65" t="s">
        <v>11</v>
      </c>
      <c r="N10" s="65" t="s">
        <v>11</v>
      </c>
      <c r="O10" s="65"/>
    </row>
    <row r="11" spans="1:15" x14ac:dyDescent="0.3">
      <c r="A11" s="225"/>
      <c r="B11" s="57" t="s">
        <v>256</v>
      </c>
      <c r="C11" s="57" t="s">
        <v>263</v>
      </c>
      <c r="D11">
        <v>18.43</v>
      </c>
      <c r="E11">
        <v>15.68</v>
      </c>
      <c r="F11">
        <v>13.82</v>
      </c>
      <c r="G11" s="9">
        <f t="shared" si="2"/>
        <v>15.976666666666667</v>
      </c>
      <c r="H11" s="9">
        <f t="shared" si="3"/>
        <v>1.6355555555555554</v>
      </c>
      <c r="I11" s="9">
        <f>G11/G$10</f>
        <v>0.90396439213911206</v>
      </c>
      <c r="J11" s="65" t="s">
        <v>11</v>
      </c>
      <c r="K11" s="65" t="s">
        <v>11</v>
      </c>
      <c r="L11" s="65" t="s">
        <v>11</v>
      </c>
      <c r="M11" s="65" t="s">
        <v>11</v>
      </c>
      <c r="N11" s="65" t="s">
        <v>11</v>
      </c>
      <c r="O11" s="65"/>
    </row>
    <row r="12" spans="1:15" x14ac:dyDescent="0.3">
      <c r="A12" s="225"/>
      <c r="B12" s="57" t="s">
        <v>256</v>
      </c>
      <c r="C12" s="57" t="s">
        <v>387</v>
      </c>
      <c r="D12" s="9">
        <v>9.92</v>
      </c>
      <c r="E12" s="9">
        <v>39.216999999999999</v>
      </c>
      <c r="F12" s="9">
        <v>27.172000000000001</v>
      </c>
      <c r="G12" s="9">
        <f t="shared" si="2"/>
        <v>25.436333333333334</v>
      </c>
      <c r="H12" s="9">
        <f t="shared" si="3"/>
        <v>10.344222222222221</v>
      </c>
      <c r="I12" s="9">
        <f>G12/G$10</f>
        <v>1.4391950511108598</v>
      </c>
      <c r="J12">
        <v>1.2350000000000001</v>
      </c>
      <c r="K12">
        <v>0.85599999999999998</v>
      </c>
      <c r="L12">
        <v>0.95199999999999996</v>
      </c>
      <c r="M12" s="9">
        <f t="shared" si="0"/>
        <v>1.0143333333333333</v>
      </c>
      <c r="N12" s="5">
        <f t="shared" si="1"/>
        <v>0.14711111111111116</v>
      </c>
      <c r="O12" s="69"/>
    </row>
    <row r="13" spans="1:15" x14ac:dyDescent="0.3">
      <c r="A13" s="226"/>
      <c r="B13" s="60" t="s">
        <v>256</v>
      </c>
      <c r="C13" s="60" t="s">
        <v>386</v>
      </c>
      <c r="D13" s="63">
        <v>53.94</v>
      </c>
      <c r="E13" s="63">
        <v>64.510000000000005</v>
      </c>
      <c r="F13" s="63">
        <v>98.71</v>
      </c>
      <c r="G13" s="63">
        <f t="shared" si="2"/>
        <v>72.38666666666667</v>
      </c>
      <c r="H13" s="63">
        <f t="shared" si="3"/>
        <v>17.548888888888886</v>
      </c>
      <c r="I13" s="63">
        <f>G13/G$10</f>
        <v>4.0956584059447021</v>
      </c>
      <c r="J13" s="61">
        <v>0.10199999999999999</v>
      </c>
      <c r="K13" s="61">
        <v>4.4200000000000003E-2</v>
      </c>
      <c r="L13" s="61">
        <v>7.5999999999999998E-2</v>
      </c>
      <c r="M13" s="63">
        <f t="shared" si="0"/>
        <v>7.406666666666667E-2</v>
      </c>
      <c r="N13" s="64">
        <f t="shared" si="1"/>
        <v>1.9911111111111105E-2</v>
      </c>
      <c r="O13" s="69"/>
    </row>
  </sheetData>
  <mergeCells count="11">
    <mergeCell ref="N2:N3"/>
    <mergeCell ref="A4:A9"/>
    <mergeCell ref="A10:A13"/>
    <mergeCell ref="D1:F1"/>
    <mergeCell ref="J1:L1"/>
    <mergeCell ref="D2:F2"/>
    <mergeCell ref="G2:G3"/>
    <mergeCell ref="H2:H3"/>
    <mergeCell ref="I2:I3"/>
    <mergeCell ref="J2:L2"/>
    <mergeCell ref="M2:M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O22" sqref="O22"/>
    </sheetView>
  </sheetViews>
  <sheetFormatPr defaultRowHeight="14.4" x14ac:dyDescent="0.3"/>
  <cols>
    <col min="1" max="1" width="10.44140625" bestFit="1" customWidth="1"/>
    <col min="2" max="2" width="18.109375" bestFit="1" customWidth="1"/>
  </cols>
  <sheetData>
    <row r="1" spans="1:13" x14ac:dyDescent="0.3">
      <c r="A1" s="1" t="s">
        <v>181</v>
      </c>
    </row>
    <row r="2" spans="1:13" ht="15.6" x14ac:dyDescent="0.35">
      <c r="A2" s="1" t="s">
        <v>82</v>
      </c>
      <c r="C2" s="208" t="s">
        <v>182</v>
      </c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x14ac:dyDescent="0.3">
      <c r="B3" s="1" t="s">
        <v>183</v>
      </c>
      <c r="C3" s="1">
        <v>0</v>
      </c>
      <c r="D3" s="1">
        <v>2</v>
      </c>
      <c r="E3" s="1">
        <v>4</v>
      </c>
      <c r="F3" s="1">
        <v>6</v>
      </c>
      <c r="G3" s="1">
        <v>8</v>
      </c>
      <c r="H3" s="1">
        <v>10</v>
      </c>
      <c r="I3" s="1">
        <v>12</v>
      </c>
      <c r="J3" s="1">
        <v>14</v>
      </c>
      <c r="K3" s="1">
        <v>16</v>
      </c>
      <c r="L3" s="1">
        <v>18</v>
      </c>
      <c r="M3" s="1">
        <v>20</v>
      </c>
    </row>
    <row r="4" spans="1:13" x14ac:dyDescent="0.3">
      <c r="A4" s="225" t="s">
        <v>7</v>
      </c>
      <c r="B4" t="s">
        <v>184</v>
      </c>
      <c r="C4" s="9">
        <v>3.3000000000000002E-2</v>
      </c>
      <c r="D4" s="9">
        <v>0.10100000000000001</v>
      </c>
      <c r="E4" s="9">
        <v>0.35699999999999998</v>
      </c>
      <c r="F4" s="9">
        <v>1.0620000000000001</v>
      </c>
      <c r="G4" s="9">
        <v>4.2699999999999996</v>
      </c>
      <c r="H4" s="9">
        <v>7.53</v>
      </c>
      <c r="I4" s="9">
        <v>10.01</v>
      </c>
      <c r="J4" s="9">
        <v>11.94</v>
      </c>
      <c r="K4" s="9">
        <v>13.68</v>
      </c>
      <c r="L4" s="9">
        <v>13.64</v>
      </c>
      <c r="M4" s="9">
        <v>13.68</v>
      </c>
    </row>
    <row r="5" spans="1:13" x14ac:dyDescent="0.3">
      <c r="A5" s="225"/>
      <c r="B5" t="s">
        <v>185</v>
      </c>
      <c r="C5" s="9">
        <v>3.3000000000000002E-2</v>
      </c>
      <c r="D5" s="9">
        <v>0.105</v>
      </c>
      <c r="E5" s="9">
        <v>0.307</v>
      </c>
      <c r="F5" s="9">
        <v>1.022</v>
      </c>
      <c r="G5" s="9">
        <v>4.2699999999999996</v>
      </c>
      <c r="H5" s="9">
        <v>7.29</v>
      </c>
      <c r="I5" s="9">
        <v>9.5399999999999991</v>
      </c>
      <c r="J5" s="9">
        <v>11.74</v>
      </c>
      <c r="K5" s="9">
        <v>12.36</v>
      </c>
      <c r="L5" s="9">
        <v>12.46</v>
      </c>
      <c r="M5" s="9">
        <v>12.56</v>
      </c>
    </row>
    <row r="6" spans="1:13" x14ac:dyDescent="0.3">
      <c r="A6" s="225"/>
      <c r="B6" t="s">
        <v>186</v>
      </c>
      <c r="C6" s="9">
        <v>3.3000000000000002E-2</v>
      </c>
      <c r="D6" s="9">
        <v>0.14899999999999999</v>
      </c>
      <c r="E6" s="9">
        <v>0.312</v>
      </c>
      <c r="F6" s="9">
        <v>1.024</v>
      </c>
      <c r="G6" s="9">
        <v>4.1150000000000002</v>
      </c>
      <c r="H6" s="9">
        <v>8.02</v>
      </c>
      <c r="I6" s="9">
        <v>10.62</v>
      </c>
      <c r="J6" s="9">
        <v>13.26</v>
      </c>
      <c r="K6" s="9">
        <v>13.56</v>
      </c>
      <c r="L6" s="9">
        <v>13.62</v>
      </c>
      <c r="M6" s="9">
        <v>13.72</v>
      </c>
    </row>
    <row r="7" spans="1:13" x14ac:dyDescent="0.3">
      <c r="A7" s="225"/>
      <c r="B7" t="s">
        <v>187</v>
      </c>
      <c r="C7" s="9">
        <v>3.3000000000000002E-2</v>
      </c>
      <c r="D7" s="9">
        <v>9.5000000000000001E-2</v>
      </c>
      <c r="E7" s="9">
        <v>0.33</v>
      </c>
      <c r="F7" s="9">
        <v>0.93300000000000005</v>
      </c>
      <c r="G7" s="9">
        <v>4.0749999999999993</v>
      </c>
      <c r="H7" s="9">
        <v>7.52</v>
      </c>
      <c r="I7" s="9">
        <v>9.7899999999999991</v>
      </c>
      <c r="J7" s="9">
        <v>12.92</v>
      </c>
      <c r="K7" s="9">
        <v>13.56</v>
      </c>
      <c r="L7" s="9">
        <v>13.68</v>
      </c>
      <c r="M7" s="9">
        <v>13.78</v>
      </c>
    </row>
    <row r="8" spans="1:13" x14ac:dyDescent="0.3">
      <c r="A8" s="225"/>
      <c r="B8" t="s">
        <v>188</v>
      </c>
      <c r="C8" s="9">
        <v>3.3000000000000002E-2</v>
      </c>
      <c r="D8" s="9">
        <v>9.7000000000000003E-2</v>
      </c>
      <c r="E8" s="9">
        <v>0.31900000000000001</v>
      </c>
      <c r="F8" s="9">
        <v>0.99399999999999999</v>
      </c>
      <c r="G8" s="9">
        <v>4.1950000000000003</v>
      </c>
      <c r="H8" s="9">
        <v>7.46</v>
      </c>
      <c r="I8" s="9">
        <v>9.48</v>
      </c>
      <c r="J8" s="9">
        <v>12.44</v>
      </c>
      <c r="K8" s="9">
        <v>13.38</v>
      </c>
      <c r="L8" s="9">
        <v>13.42</v>
      </c>
      <c r="M8" s="9">
        <v>13.48</v>
      </c>
    </row>
    <row r="9" spans="1:13" x14ac:dyDescent="0.3">
      <c r="A9" s="225"/>
      <c r="B9" t="s">
        <v>189</v>
      </c>
      <c r="C9" s="9">
        <v>3.3000000000000002E-2</v>
      </c>
      <c r="D9" s="9">
        <v>0.11700000000000001</v>
      </c>
      <c r="E9" s="9">
        <v>0.25600000000000001</v>
      </c>
      <c r="F9" s="9">
        <v>1.0029999999999999</v>
      </c>
      <c r="G9" s="9">
        <v>4.1349999999999998</v>
      </c>
      <c r="H9" s="9">
        <v>7.6</v>
      </c>
      <c r="I9" s="9">
        <v>10.31</v>
      </c>
      <c r="J9" s="9">
        <v>11.8</v>
      </c>
      <c r="K9" s="9">
        <v>12.86</v>
      </c>
      <c r="L9" s="9">
        <v>13.04</v>
      </c>
      <c r="M9" s="9">
        <v>13.12</v>
      </c>
    </row>
    <row r="10" spans="1:13" x14ac:dyDescent="0.3">
      <c r="A10" s="225"/>
      <c r="B10" t="s">
        <v>190</v>
      </c>
      <c r="C10" s="9">
        <v>3.3000000000000002E-2</v>
      </c>
      <c r="D10" s="9">
        <v>0.11</v>
      </c>
      <c r="E10" s="9">
        <v>0.25900000000000001</v>
      </c>
      <c r="F10" s="9">
        <v>0.85499999999999998</v>
      </c>
      <c r="G10" s="9">
        <v>3.6149999999999998</v>
      </c>
      <c r="H10" s="9">
        <v>7.54</v>
      </c>
      <c r="I10" s="9">
        <v>9.32</v>
      </c>
      <c r="J10" s="9">
        <v>11.62</v>
      </c>
      <c r="K10" s="9">
        <v>12.14</v>
      </c>
      <c r="L10" s="9">
        <v>12.44</v>
      </c>
      <c r="M10" s="9">
        <v>12.54</v>
      </c>
    </row>
    <row r="11" spans="1:13" x14ac:dyDescent="0.3">
      <c r="A11" s="3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3">
      <c r="A12" s="225" t="s">
        <v>8</v>
      </c>
      <c r="B12" t="s">
        <v>184</v>
      </c>
      <c r="C12" s="9">
        <v>3.4000000000000002E-2</v>
      </c>
      <c r="D12" s="9">
        <v>8.4000000000000005E-2</v>
      </c>
      <c r="E12" s="9">
        <v>0.28899999999999998</v>
      </c>
      <c r="F12" s="9">
        <v>0.96249999999999991</v>
      </c>
      <c r="G12" s="9">
        <v>3.96</v>
      </c>
      <c r="H12" s="9">
        <v>7.08</v>
      </c>
      <c r="I12" s="9">
        <v>9.7900000000000009</v>
      </c>
      <c r="J12" s="9">
        <v>11.888</v>
      </c>
      <c r="K12" s="9">
        <v>12.385</v>
      </c>
      <c r="L12" s="9">
        <v>12.442</v>
      </c>
      <c r="M12" s="9">
        <v>12.66</v>
      </c>
    </row>
    <row r="13" spans="1:13" x14ac:dyDescent="0.3">
      <c r="A13" s="225"/>
      <c r="B13" t="s">
        <v>185</v>
      </c>
      <c r="C13" s="9">
        <v>3.4000000000000002E-2</v>
      </c>
      <c r="D13" s="9">
        <v>7.9000000000000001E-2</v>
      </c>
      <c r="E13" s="9">
        <v>0.29099999999999998</v>
      </c>
      <c r="F13" s="9">
        <v>0.94599999999999995</v>
      </c>
      <c r="G13" s="9">
        <v>3.4399999999999995</v>
      </c>
      <c r="H13" s="9">
        <v>6.96</v>
      </c>
      <c r="I13" s="9">
        <v>9.7639999999999993</v>
      </c>
      <c r="J13" s="9">
        <v>11.901999999999999</v>
      </c>
      <c r="K13" s="9">
        <v>12.47</v>
      </c>
      <c r="L13" s="9">
        <v>12.364000000000001</v>
      </c>
      <c r="M13" s="9">
        <v>12.56</v>
      </c>
    </row>
    <row r="14" spans="1:13" x14ac:dyDescent="0.3">
      <c r="A14" s="225"/>
      <c r="B14" t="s">
        <v>186</v>
      </c>
      <c r="C14" s="9">
        <v>3.4000000000000002E-2</v>
      </c>
      <c r="D14" s="9">
        <v>8.2000000000000003E-2</v>
      </c>
      <c r="E14" s="9">
        <v>0.28499999999999998</v>
      </c>
      <c r="F14" s="9">
        <v>0.93700000000000006</v>
      </c>
      <c r="G14" s="9">
        <v>3.3600000000000003</v>
      </c>
      <c r="H14" s="9">
        <v>6.9820000000000002</v>
      </c>
      <c r="I14" s="9">
        <v>9.6539999999999999</v>
      </c>
      <c r="J14" s="9">
        <v>11.859</v>
      </c>
      <c r="K14" s="9">
        <v>12.355</v>
      </c>
      <c r="L14" s="9">
        <v>12.316000000000001</v>
      </c>
      <c r="M14" s="9">
        <v>12.61</v>
      </c>
    </row>
    <row r="15" spans="1:13" x14ac:dyDescent="0.3">
      <c r="A15" s="225"/>
      <c r="B15" t="s">
        <v>187</v>
      </c>
      <c r="C15" s="9">
        <v>3.4000000000000002E-2</v>
      </c>
      <c r="D15" s="9">
        <v>0.09</v>
      </c>
      <c r="E15" s="9">
        <v>0.28799999999999998</v>
      </c>
      <c r="F15" s="9">
        <v>0.90900000000000003</v>
      </c>
      <c r="G15" s="9">
        <v>3.048</v>
      </c>
      <c r="H15" s="9">
        <v>6.74</v>
      </c>
      <c r="I15" s="9">
        <v>9.4420000000000002</v>
      </c>
      <c r="J15" s="9">
        <v>11.612</v>
      </c>
      <c r="K15" s="9">
        <v>11.9</v>
      </c>
      <c r="L15" s="9">
        <v>12.518000000000001</v>
      </c>
      <c r="M15" s="9">
        <v>12.92</v>
      </c>
    </row>
    <row r="16" spans="1:13" x14ac:dyDescent="0.3">
      <c r="A16" s="225"/>
      <c r="B16" t="s">
        <v>188</v>
      </c>
      <c r="C16" s="9">
        <v>3.4000000000000002E-2</v>
      </c>
      <c r="D16" s="9">
        <v>9.8000000000000004E-2</v>
      </c>
      <c r="E16" s="9">
        <v>0.31</v>
      </c>
      <c r="F16" s="9">
        <v>0.95199999999999996</v>
      </c>
      <c r="G16" s="9">
        <v>2.99</v>
      </c>
      <c r="H16" s="9">
        <v>6.99</v>
      </c>
      <c r="I16" s="9">
        <v>9.0739999999999998</v>
      </c>
      <c r="J16" s="9">
        <v>11.025</v>
      </c>
      <c r="K16" s="9">
        <v>12.103</v>
      </c>
      <c r="L16" s="9">
        <v>12.987</v>
      </c>
      <c r="M16" s="9">
        <v>13.121</v>
      </c>
    </row>
    <row r="17" spans="1:13" x14ac:dyDescent="0.3">
      <c r="A17" s="225"/>
      <c r="B17" t="s">
        <v>189</v>
      </c>
      <c r="C17" s="9">
        <v>3.4000000000000002E-2</v>
      </c>
      <c r="D17" s="9">
        <v>9.4E-2</v>
      </c>
      <c r="E17" s="9">
        <v>0.311</v>
      </c>
      <c r="F17" s="9">
        <v>0.95099999999999996</v>
      </c>
      <c r="G17" s="9">
        <v>2.84</v>
      </c>
      <c r="H17" s="9">
        <v>6.79</v>
      </c>
      <c r="I17" s="9">
        <v>9.4209999999999994</v>
      </c>
      <c r="J17" s="9">
        <v>10.956</v>
      </c>
      <c r="K17" s="9">
        <v>12.114000000000001</v>
      </c>
      <c r="L17" s="9">
        <v>12.896000000000001</v>
      </c>
      <c r="M17" s="9">
        <v>13.002000000000001</v>
      </c>
    </row>
    <row r="18" spans="1:13" x14ac:dyDescent="0.3">
      <c r="A18" s="225"/>
      <c r="B18" t="s">
        <v>190</v>
      </c>
      <c r="C18" s="9">
        <v>3.4000000000000002E-2</v>
      </c>
      <c r="D18" s="9">
        <v>0.09</v>
      </c>
      <c r="E18" s="9">
        <v>0.34100000000000003</v>
      </c>
      <c r="F18" s="9">
        <v>0.98399999999999999</v>
      </c>
      <c r="G18" s="9">
        <v>2.87</v>
      </c>
      <c r="H18" s="9">
        <v>6.8250000000000002</v>
      </c>
      <c r="I18" s="9">
        <v>9.2010000000000005</v>
      </c>
      <c r="J18" s="9">
        <v>10.741</v>
      </c>
      <c r="K18" s="9">
        <v>11.997999999999999</v>
      </c>
      <c r="L18" s="9">
        <v>12.420999999999999</v>
      </c>
      <c r="M18" s="9">
        <v>12.744999999999999</v>
      </c>
    </row>
    <row r="19" spans="1:13" x14ac:dyDescent="0.3">
      <c r="A19" s="3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225" t="s">
        <v>9</v>
      </c>
      <c r="B20" t="s">
        <v>184</v>
      </c>
      <c r="C20" s="9">
        <v>5.1999999999999998E-2</v>
      </c>
      <c r="D20" s="9">
        <v>9.2999999999999999E-2</v>
      </c>
      <c r="E20" s="9">
        <v>0.41899999999999998</v>
      </c>
      <c r="F20" s="9">
        <v>1.1479999999999999</v>
      </c>
      <c r="G20" s="9">
        <v>4.181</v>
      </c>
      <c r="H20" s="9">
        <v>8.2370000000000001</v>
      </c>
      <c r="I20" s="9">
        <v>10.504</v>
      </c>
      <c r="J20" s="9">
        <v>11.093999999999999</v>
      </c>
      <c r="K20" s="9">
        <v>14.189</v>
      </c>
      <c r="L20" s="9">
        <v>14.704000000000001</v>
      </c>
      <c r="M20" s="9">
        <v>14.95</v>
      </c>
    </row>
    <row r="21" spans="1:13" x14ac:dyDescent="0.3">
      <c r="A21" s="225"/>
      <c r="B21" t="s">
        <v>185</v>
      </c>
      <c r="C21" s="9">
        <v>5.1999999999999998E-2</v>
      </c>
      <c r="D21" s="9">
        <v>9.2999999999999999E-2</v>
      </c>
      <c r="E21" s="9">
        <v>0.39600000000000002</v>
      </c>
      <c r="F21" s="9">
        <v>1.163</v>
      </c>
      <c r="G21" s="9">
        <v>4.0860000000000003</v>
      </c>
      <c r="H21" s="9">
        <v>8.343</v>
      </c>
      <c r="I21" s="9">
        <v>10.442</v>
      </c>
      <c r="J21" s="9">
        <v>10.928000000000001</v>
      </c>
      <c r="K21" s="9">
        <v>14.278</v>
      </c>
      <c r="L21" s="9">
        <v>14.795</v>
      </c>
      <c r="M21" s="9">
        <v>14.81</v>
      </c>
    </row>
    <row r="22" spans="1:13" x14ac:dyDescent="0.3">
      <c r="A22" s="225"/>
      <c r="B22" t="s">
        <v>186</v>
      </c>
      <c r="C22" s="9">
        <v>5.1999999999999998E-2</v>
      </c>
      <c r="D22" s="9">
        <v>9.9000000000000005E-2</v>
      </c>
      <c r="E22" s="9">
        <v>0.38400000000000001</v>
      </c>
      <c r="F22" s="9">
        <v>1.135</v>
      </c>
      <c r="G22" s="9">
        <v>4.1509999999999998</v>
      </c>
      <c r="H22" s="9">
        <v>8.2789999999999999</v>
      </c>
      <c r="I22" s="9">
        <v>10.49</v>
      </c>
      <c r="J22" s="9">
        <v>10.952</v>
      </c>
      <c r="K22" s="9">
        <v>14.119</v>
      </c>
      <c r="L22" s="9">
        <v>14.965</v>
      </c>
      <c r="M22" s="9">
        <v>14.46</v>
      </c>
    </row>
    <row r="23" spans="1:13" x14ac:dyDescent="0.3">
      <c r="A23" s="225"/>
      <c r="B23" t="s">
        <v>187</v>
      </c>
      <c r="C23" s="9">
        <v>5.1999999999999998E-2</v>
      </c>
      <c r="D23" s="9">
        <v>8.5999999999999993E-2</v>
      </c>
      <c r="E23" s="9">
        <v>0.373</v>
      </c>
      <c r="F23" s="9">
        <v>1.099</v>
      </c>
      <c r="G23" s="9">
        <v>4.0010000000000003</v>
      </c>
      <c r="H23" s="9">
        <v>8.1769999999999996</v>
      </c>
      <c r="I23" s="9">
        <v>10.173999999999999</v>
      </c>
      <c r="J23" s="9">
        <v>10.481999999999999</v>
      </c>
      <c r="K23" s="9">
        <v>13.734</v>
      </c>
      <c r="L23" s="9">
        <v>14.182</v>
      </c>
      <c r="M23" s="9">
        <v>14.55</v>
      </c>
    </row>
    <row r="24" spans="1:13" x14ac:dyDescent="0.3">
      <c r="A24" s="38"/>
      <c r="B24" t="s">
        <v>188</v>
      </c>
      <c r="C24" s="9">
        <v>5.1999999999999998E-2</v>
      </c>
      <c r="D24" s="9">
        <v>0.10100000000000001</v>
      </c>
      <c r="E24" s="9">
        <v>0.51200000000000001</v>
      </c>
      <c r="F24" s="9">
        <v>1.2030000000000001</v>
      </c>
      <c r="G24" s="9">
        <v>4.9987000000000004</v>
      </c>
      <c r="H24" s="9">
        <v>8.9990000000000006</v>
      </c>
      <c r="I24" s="9">
        <v>11.744999999999999</v>
      </c>
      <c r="J24" s="9">
        <v>11.987</v>
      </c>
      <c r="K24" s="9">
        <v>14.077999999999999</v>
      </c>
      <c r="L24" s="9">
        <v>14.577999999999999</v>
      </c>
      <c r="M24" s="9">
        <v>14.58</v>
      </c>
    </row>
    <row r="25" spans="1:13" x14ac:dyDescent="0.3">
      <c r="A25" s="38"/>
      <c r="B25" t="s">
        <v>189</v>
      </c>
      <c r="C25" s="9">
        <v>5.1999999999999998E-2</v>
      </c>
      <c r="D25" s="9">
        <v>0.112</v>
      </c>
      <c r="E25" s="9">
        <v>0.55400000000000005</v>
      </c>
      <c r="F25" s="9">
        <v>1.254</v>
      </c>
      <c r="G25" s="9">
        <v>4.7889999999999997</v>
      </c>
      <c r="H25" s="9">
        <v>9.0020000000000007</v>
      </c>
      <c r="I25" s="9">
        <v>11.234</v>
      </c>
      <c r="J25" s="9">
        <v>11.987</v>
      </c>
      <c r="K25" s="9">
        <v>14.228</v>
      </c>
      <c r="L25" s="9">
        <v>14.763</v>
      </c>
      <c r="M25" s="9">
        <v>14.722</v>
      </c>
    </row>
    <row r="26" spans="1:13" x14ac:dyDescent="0.3">
      <c r="A26" s="38"/>
      <c r="B26" t="s">
        <v>190</v>
      </c>
      <c r="C26" s="9">
        <v>5.1999999999999998E-2</v>
      </c>
      <c r="D26" s="9">
        <v>0.13200000000000001</v>
      </c>
      <c r="E26" s="9">
        <v>0.501</v>
      </c>
      <c r="F26" s="9">
        <v>1.1990000000000001</v>
      </c>
      <c r="G26" s="9">
        <v>4.8540000000000001</v>
      </c>
      <c r="H26" s="9">
        <v>9.1210000000000004</v>
      </c>
      <c r="I26" s="9">
        <v>11.147</v>
      </c>
      <c r="J26" s="9">
        <v>11.678000000000001</v>
      </c>
      <c r="K26" s="9">
        <v>14.1998</v>
      </c>
      <c r="L26" s="9">
        <v>14.387</v>
      </c>
      <c r="M26" s="9">
        <v>14.333</v>
      </c>
    </row>
    <row r="27" spans="1:13" x14ac:dyDescent="0.3">
      <c r="A27" s="3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3">
      <c r="A28" s="207" t="s">
        <v>4</v>
      </c>
      <c r="B28" s="1" t="s">
        <v>184</v>
      </c>
      <c r="C28" s="10">
        <f t="shared" ref="C28:M31" si="0">(C4+C12+C20)/3</f>
        <v>3.9666666666666663E-2</v>
      </c>
      <c r="D28" s="10">
        <f t="shared" si="0"/>
        <v>9.2666666666666675E-2</v>
      </c>
      <c r="E28" s="10">
        <f t="shared" si="0"/>
        <v>0.35499999999999998</v>
      </c>
      <c r="F28" s="10">
        <f t="shared" si="0"/>
        <v>1.0574999999999999</v>
      </c>
      <c r="G28" s="10">
        <f t="shared" si="0"/>
        <v>4.1370000000000005</v>
      </c>
      <c r="H28" s="10">
        <f t="shared" si="0"/>
        <v>7.6156666666666668</v>
      </c>
      <c r="I28" s="10">
        <f t="shared" si="0"/>
        <v>10.101333333333335</v>
      </c>
      <c r="J28" s="10">
        <f t="shared" si="0"/>
        <v>11.640666666666666</v>
      </c>
      <c r="K28" s="10">
        <f t="shared" si="0"/>
        <v>13.417999999999999</v>
      </c>
      <c r="L28" s="10">
        <f t="shared" si="0"/>
        <v>13.595333333333334</v>
      </c>
      <c r="M28" s="10">
        <f t="shared" si="0"/>
        <v>13.763333333333334</v>
      </c>
    </row>
    <row r="29" spans="1:13" x14ac:dyDescent="0.3">
      <c r="A29" s="207"/>
      <c r="B29" s="1" t="s">
        <v>185</v>
      </c>
      <c r="C29" s="10">
        <f t="shared" si="0"/>
        <v>3.9666666666666663E-2</v>
      </c>
      <c r="D29" s="10">
        <f t="shared" si="0"/>
        <v>9.2333333333333337E-2</v>
      </c>
      <c r="E29" s="10">
        <f t="shared" si="0"/>
        <v>0.33133333333333331</v>
      </c>
      <c r="F29" s="10">
        <f t="shared" si="0"/>
        <v>1.0436666666666667</v>
      </c>
      <c r="G29" s="10">
        <f t="shared" si="0"/>
        <v>3.9319999999999999</v>
      </c>
      <c r="H29" s="10">
        <f t="shared" si="0"/>
        <v>7.5309999999999997</v>
      </c>
      <c r="I29" s="10">
        <f t="shared" si="0"/>
        <v>9.9153333333333329</v>
      </c>
      <c r="J29" s="10">
        <f t="shared" si="0"/>
        <v>11.523333333333333</v>
      </c>
      <c r="K29" s="10">
        <f t="shared" si="0"/>
        <v>13.036</v>
      </c>
      <c r="L29" s="10">
        <f t="shared" si="0"/>
        <v>13.206333333333333</v>
      </c>
      <c r="M29" s="10">
        <f t="shared" si="0"/>
        <v>13.31</v>
      </c>
    </row>
    <row r="30" spans="1:13" x14ac:dyDescent="0.3">
      <c r="A30" s="207"/>
      <c r="B30" s="1" t="s">
        <v>186</v>
      </c>
      <c r="C30" s="10">
        <f t="shared" si="0"/>
        <v>3.9666666666666663E-2</v>
      </c>
      <c r="D30" s="10">
        <f t="shared" si="0"/>
        <v>0.10999999999999999</v>
      </c>
      <c r="E30" s="10">
        <f t="shared" si="0"/>
        <v>0.32700000000000001</v>
      </c>
      <c r="F30" s="10">
        <f t="shared" si="0"/>
        <v>1.032</v>
      </c>
      <c r="G30" s="10">
        <f t="shared" si="0"/>
        <v>3.8753333333333337</v>
      </c>
      <c r="H30" s="10">
        <f t="shared" si="0"/>
        <v>7.7603333333333326</v>
      </c>
      <c r="I30" s="10">
        <f t="shared" si="0"/>
        <v>10.254666666666667</v>
      </c>
      <c r="J30" s="10">
        <f t="shared" si="0"/>
        <v>12.023666666666665</v>
      </c>
      <c r="K30" s="10">
        <f t="shared" si="0"/>
        <v>13.344666666666667</v>
      </c>
      <c r="L30" s="10">
        <f t="shared" si="0"/>
        <v>13.633666666666665</v>
      </c>
      <c r="M30" s="10">
        <f t="shared" si="0"/>
        <v>13.596666666666666</v>
      </c>
    </row>
    <row r="31" spans="1:13" x14ac:dyDescent="0.3">
      <c r="A31" s="207"/>
      <c r="B31" s="1" t="s">
        <v>187</v>
      </c>
      <c r="C31" s="10">
        <f t="shared" si="0"/>
        <v>3.9666666666666663E-2</v>
      </c>
      <c r="D31" s="10">
        <f t="shared" si="0"/>
        <v>9.0333333333333335E-2</v>
      </c>
      <c r="E31" s="10">
        <f t="shared" si="0"/>
        <v>0.33033333333333331</v>
      </c>
      <c r="F31" s="10">
        <f t="shared" si="0"/>
        <v>0.98033333333333328</v>
      </c>
      <c r="G31" s="10">
        <f t="shared" si="0"/>
        <v>3.7079999999999997</v>
      </c>
      <c r="H31" s="10">
        <f t="shared" si="0"/>
        <v>7.4789999999999992</v>
      </c>
      <c r="I31" s="10">
        <f t="shared" si="0"/>
        <v>9.8019999999999996</v>
      </c>
      <c r="J31" s="10">
        <f t="shared" si="0"/>
        <v>11.671333333333331</v>
      </c>
      <c r="K31" s="10">
        <f t="shared" si="0"/>
        <v>13.064666666666668</v>
      </c>
      <c r="L31" s="10">
        <f t="shared" si="0"/>
        <v>13.46</v>
      </c>
      <c r="M31" s="10">
        <f t="shared" si="0"/>
        <v>13.75</v>
      </c>
    </row>
    <row r="32" spans="1:13" x14ac:dyDescent="0.3">
      <c r="A32" s="4"/>
      <c r="B32" s="1" t="s">
        <v>188</v>
      </c>
      <c r="C32" s="10">
        <f t="shared" ref="C32:M34" si="1">(C8+C16+C24)/3</f>
        <v>3.9666666666666663E-2</v>
      </c>
      <c r="D32" s="10">
        <f t="shared" si="1"/>
        <v>9.866666666666668E-2</v>
      </c>
      <c r="E32" s="10">
        <f t="shared" si="1"/>
        <v>0.38033333333333336</v>
      </c>
      <c r="F32" s="10">
        <f t="shared" si="1"/>
        <v>1.0496666666666667</v>
      </c>
      <c r="G32" s="10">
        <f t="shared" si="1"/>
        <v>4.0612333333333339</v>
      </c>
      <c r="H32" s="10">
        <f t="shared" si="1"/>
        <v>7.8163333333333327</v>
      </c>
      <c r="I32" s="10">
        <f t="shared" si="1"/>
        <v>10.099666666666666</v>
      </c>
      <c r="J32" s="10">
        <f t="shared" si="1"/>
        <v>11.817333333333332</v>
      </c>
      <c r="K32" s="10">
        <f t="shared" si="1"/>
        <v>13.186999999999999</v>
      </c>
      <c r="L32" s="10">
        <f t="shared" si="1"/>
        <v>13.661666666666667</v>
      </c>
      <c r="M32" s="10">
        <f t="shared" si="1"/>
        <v>13.726999999999999</v>
      </c>
    </row>
    <row r="33" spans="1:13" x14ac:dyDescent="0.3">
      <c r="A33" s="4"/>
      <c r="B33" s="1" t="s">
        <v>189</v>
      </c>
      <c r="C33" s="10">
        <f t="shared" si="1"/>
        <v>3.9666666666666663E-2</v>
      </c>
      <c r="D33" s="10">
        <f t="shared" si="1"/>
        <v>0.10766666666666667</v>
      </c>
      <c r="E33" s="10">
        <f t="shared" si="1"/>
        <v>0.37366666666666665</v>
      </c>
      <c r="F33" s="10">
        <f t="shared" si="1"/>
        <v>1.0693333333333332</v>
      </c>
      <c r="G33" s="10">
        <f t="shared" si="1"/>
        <v>3.9213333333333331</v>
      </c>
      <c r="H33" s="10">
        <f t="shared" si="1"/>
        <v>7.7973333333333343</v>
      </c>
      <c r="I33" s="10">
        <f t="shared" si="1"/>
        <v>10.321666666666667</v>
      </c>
      <c r="J33" s="10">
        <f t="shared" si="1"/>
        <v>11.581000000000001</v>
      </c>
      <c r="K33" s="10">
        <f t="shared" si="1"/>
        <v>13.067333333333332</v>
      </c>
      <c r="L33" s="10">
        <f t="shared" si="1"/>
        <v>13.566333333333333</v>
      </c>
      <c r="M33" s="10">
        <f t="shared" si="1"/>
        <v>13.614666666666666</v>
      </c>
    </row>
    <row r="34" spans="1:13" x14ac:dyDescent="0.3">
      <c r="A34" s="4"/>
      <c r="B34" s="1" t="s">
        <v>190</v>
      </c>
      <c r="C34" s="10">
        <f t="shared" si="1"/>
        <v>3.9666666666666663E-2</v>
      </c>
      <c r="D34" s="10">
        <f t="shared" si="1"/>
        <v>0.11066666666666668</v>
      </c>
      <c r="E34" s="10">
        <f t="shared" si="1"/>
        <v>0.36699999999999999</v>
      </c>
      <c r="F34" s="10">
        <f t="shared" si="1"/>
        <v>1.0126666666666668</v>
      </c>
      <c r="G34" s="10">
        <f t="shared" si="1"/>
        <v>3.7796666666666661</v>
      </c>
      <c r="H34" s="10">
        <f t="shared" si="1"/>
        <v>7.8286666666666669</v>
      </c>
      <c r="I34" s="10">
        <f t="shared" si="1"/>
        <v>9.8893333333333331</v>
      </c>
      <c r="J34" s="10">
        <f t="shared" si="1"/>
        <v>11.346333333333334</v>
      </c>
      <c r="K34" s="10">
        <f t="shared" si="1"/>
        <v>12.779266666666667</v>
      </c>
      <c r="L34" s="10">
        <f t="shared" si="1"/>
        <v>13.082666666666666</v>
      </c>
      <c r="M34" s="10">
        <f t="shared" si="1"/>
        <v>13.205999999999998</v>
      </c>
    </row>
    <row r="35" spans="1:13" x14ac:dyDescent="0.3">
      <c r="A35" s="4"/>
      <c r="B35" s="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3">
      <c r="A36" s="207" t="s">
        <v>5</v>
      </c>
      <c r="B36" s="1" t="s">
        <v>184</v>
      </c>
      <c r="C36" s="10">
        <f t="shared" ref="C36:C42" si="2">(ABS(C4-C28)+ABS(C12-C28)+ABS(C20-C28))/3</f>
        <v>8.2222222222222193E-3</v>
      </c>
      <c r="D36" s="10">
        <f t="shared" ref="D36:M39" si="3">(ABS(D4-D28)+ABS(D12-D28)+ABS(D20-D28))/3</f>
        <v>5.7777777777777749E-3</v>
      </c>
      <c r="E36" s="10">
        <f t="shared" si="3"/>
        <v>4.4000000000000004E-2</v>
      </c>
      <c r="F36" s="10">
        <f t="shared" si="3"/>
        <v>6.3333333333333394E-2</v>
      </c>
      <c r="G36" s="10">
        <f t="shared" si="3"/>
        <v>0.11799999999999973</v>
      </c>
      <c r="H36" s="10">
        <f t="shared" si="3"/>
        <v>0.41422222222222221</v>
      </c>
      <c r="I36" s="10">
        <f t="shared" si="3"/>
        <v>0.26844444444444449</v>
      </c>
      <c r="J36" s="10">
        <f t="shared" si="3"/>
        <v>0.36444444444444457</v>
      </c>
      <c r="K36" s="10">
        <f t="shared" si="3"/>
        <v>0.68866666666666687</v>
      </c>
      <c r="L36" s="10">
        <f t="shared" si="3"/>
        <v>0.76888888888888884</v>
      </c>
      <c r="M36" s="10">
        <f t="shared" si="3"/>
        <v>0.79111111111111099</v>
      </c>
    </row>
    <row r="37" spans="1:13" x14ac:dyDescent="0.3">
      <c r="A37" s="207"/>
      <c r="B37" s="1" t="s">
        <v>185</v>
      </c>
      <c r="C37" s="10">
        <f t="shared" si="2"/>
        <v>8.2222222222222193E-3</v>
      </c>
      <c r="D37" s="10">
        <f t="shared" si="3"/>
        <v>8.8888888888888854E-3</v>
      </c>
      <c r="E37" s="10">
        <f t="shared" si="3"/>
        <v>4.3111111111111121E-2</v>
      </c>
      <c r="F37" s="10">
        <f t="shared" si="3"/>
        <v>7.9555555555555602E-2</v>
      </c>
      <c r="G37" s="10">
        <f t="shared" si="3"/>
        <v>0.32800000000000012</v>
      </c>
      <c r="H37" s="10">
        <f t="shared" si="3"/>
        <v>0.54133333333333322</v>
      </c>
      <c r="I37" s="10">
        <f t="shared" si="3"/>
        <v>0.35111111111111154</v>
      </c>
      <c r="J37" s="10">
        <f t="shared" si="3"/>
        <v>0.3968888888888884</v>
      </c>
      <c r="K37" s="10">
        <f t="shared" si="3"/>
        <v>0.82799999999999996</v>
      </c>
      <c r="L37" s="10">
        <f t="shared" si="3"/>
        <v>1.0591111111111104</v>
      </c>
      <c r="M37" s="10">
        <f t="shared" si="3"/>
        <v>1</v>
      </c>
    </row>
    <row r="38" spans="1:13" x14ac:dyDescent="0.3">
      <c r="A38" s="207"/>
      <c r="B38" s="1" t="s">
        <v>186</v>
      </c>
      <c r="C38" s="10">
        <f t="shared" si="2"/>
        <v>8.2222222222222193E-3</v>
      </c>
      <c r="D38" s="10">
        <f t="shared" si="3"/>
        <v>2.5999999999999992E-2</v>
      </c>
      <c r="E38" s="10">
        <f t="shared" si="3"/>
        <v>3.8000000000000013E-2</v>
      </c>
      <c r="F38" s="10">
        <f t="shared" si="3"/>
        <v>6.8666666666666654E-2</v>
      </c>
      <c r="G38" s="10">
        <f t="shared" si="3"/>
        <v>0.34355555555555534</v>
      </c>
      <c r="H38" s="10">
        <f t="shared" si="3"/>
        <v>0.51888888888888884</v>
      </c>
      <c r="I38" s="10">
        <f t="shared" si="3"/>
        <v>0.40044444444444416</v>
      </c>
      <c r="J38" s="10">
        <f t="shared" si="3"/>
        <v>0.82422222222222175</v>
      </c>
      <c r="K38" s="10">
        <f t="shared" si="3"/>
        <v>0.65977777777777769</v>
      </c>
      <c r="L38" s="10">
        <f t="shared" si="3"/>
        <v>0.88755555555555488</v>
      </c>
      <c r="M38" s="10">
        <f t="shared" si="3"/>
        <v>0.65777777777777879</v>
      </c>
    </row>
    <row r="39" spans="1:13" x14ac:dyDescent="0.3">
      <c r="A39" s="207"/>
      <c r="B39" s="1" t="s">
        <v>187</v>
      </c>
      <c r="C39" s="10">
        <f t="shared" si="2"/>
        <v>8.2222222222222193E-3</v>
      </c>
      <c r="D39" s="10">
        <f t="shared" si="3"/>
        <v>3.1111111111111153E-3</v>
      </c>
      <c r="E39" s="10">
        <f t="shared" si="3"/>
        <v>2.8444444444444439E-2</v>
      </c>
      <c r="F39" s="10">
        <f t="shared" si="3"/>
        <v>7.9111111111111063E-2</v>
      </c>
      <c r="G39" s="10">
        <f t="shared" si="3"/>
        <v>0.43999999999999995</v>
      </c>
      <c r="H39" s="10">
        <f t="shared" si="3"/>
        <v>0.49266666666666659</v>
      </c>
      <c r="I39" s="10">
        <f t="shared" si="3"/>
        <v>0.24799999999999991</v>
      </c>
      <c r="J39" s="10">
        <f t="shared" si="3"/>
        <v>0.83244444444444399</v>
      </c>
      <c r="K39" s="10">
        <f t="shared" si="3"/>
        <v>0.77644444444444416</v>
      </c>
      <c r="L39" s="10">
        <f t="shared" si="3"/>
        <v>0.62799999999999956</v>
      </c>
      <c r="M39" s="10">
        <f t="shared" si="3"/>
        <v>0.55333333333333334</v>
      </c>
    </row>
    <row r="40" spans="1:13" x14ac:dyDescent="0.3">
      <c r="B40" s="1" t="s">
        <v>188</v>
      </c>
      <c r="C40" s="10">
        <f t="shared" si="2"/>
        <v>8.2222222222222193E-3</v>
      </c>
      <c r="D40" s="10">
        <f t="shared" ref="D40:M40" si="4">(ABS(D8-D32)+ABS(D16-D32)+ABS(D24-D32))/3</f>
        <v>1.55555555555556E-3</v>
      </c>
      <c r="E40" s="10">
        <f t="shared" si="4"/>
        <v>8.7777777777777788E-2</v>
      </c>
      <c r="F40" s="10">
        <f t="shared" si="4"/>
        <v>0.10222222222222228</v>
      </c>
      <c r="G40" s="10">
        <f t="shared" si="4"/>
        <v>0.71415555555555554</v>
      </c>
      <c r="H40" s="10">
        <f t="shared" si="4"/>
        <v>0.78844444444444439</v>
      </c>
      <c r="I40" s="10">
        <f t="shared" si="4"/>
        <v>1.0968888888888884</v>
      </c>
      <c r="J40" s="10">
        <f t="shared" si="4"/>
        <v>0.52822222222222237</v>
      </c>
      <c r="K40" s="10">
        <f t="shared" si="4"/>
        <v>0.72266666666666701</v>
      </c>
      <c r="L40" s="10">
        <f t="shared" si="4"/>
        <v>0.61088888888888881</v>
      </c>
      <c r="M40" s="10">
        <f t="shared" si="4"/>
        <v>0.56866666666666588</v>
      </c>
    </row>
    <row r="41" spans="1:13" x14ac:dyDescent="0.3">
      <c r="B41" s="1" t="s">
        <v>189</v>
      </c>
      <c r="C41" s="10">
        <f t="shared" si="2"/>
        <v>8.2222222222222193E-3</v>
      </c>
      <c r="D41" s="10">
        <f t="shared" ref="D41:M41" si="5">(ABS(D9-D33)+ABS(D17-D33)+ABS(D25-D33))/3</f>
        <v>9.1111111111111115E-3</v>
      </c>
      <c r="E41" s="10">
        <f t="shared" si="5"/>
        <v>0.12022222222222223</v>
      </c>
      <c r="F41" s="10">
        <f t="shared" si="5"/>
        <v>0.12311111111111113</v>
      </c>
      <c r="G41" s="10">
        <f t="shared" si="5"/>
        <v>0.7208888888888888</v>
      </c>
      <c r="H41" s="10">
        <f t="shared" si="5"/>
        <v>0.80311111111111178</v>
      </c>
      <c r="I41" s="10">
        <f t="shared" si="5"/>
        <v>0.60822222222222244</v>
      </c>
      <c r="J41" s="10">
        <f t="shared" si="5"/>
        <v>0.41666666666666669</v>
      </c>
      <c r="K41" s="10">
        <f t="shared" si="5"/>
        <v>0.77377777777777723</v>
      </c>
      <c r="L41" s="10">
        <f t="shared" si="5"/>
        <v>0.79777777777777759</v>
      </c>
      <c r="M41" s="10">
        <f t="shared" si="5"/>
        <v>0.738222222222222</v>
      </c>
    </row>
    <row r="42" spans="1:13" x14ac:dyDescent="0.3">
      <c r="B42" s="1" t="s">
        <v>190</v>
      </c>
      <c r="C42" s="10">
        <f t="shared" si="2"/>
        <v>8.2222222222222193E-3</v>
      </c>
      <c r="D42" s="10">
        <f t="shared" ref="D42:M42" si="6">(ABS(D10-D34)+ABS(D18-D34)+ABS(D26-D34))/3</f>
        <v>1.4222222222222228E-2</v>
      </c>
      <c r="E42" s="10">
        <f t="shared" si="6"/>
        <v>8.933333333333332E-2</v>
      </c>
      <c r="F42" s="10">
        <f t="shared" si="6"/>
        <v>0.1242222222222223</v>
      </c>
      <c r="G42" s="10">
        <f t="shared" si="6"/>
        <v>0.71622222222222209</v>
      </c>
      <c r="H42" s="10">
        <f t="shared" si="6"/>
        <v>0.86155555555555574</v>
      </c>
      <c r="I42" s="10">
        <f t="shared" si="6"/>
        <v>0.83844444444444421</v>
      </c>
      <c r="J42" s="10">
        <f t="shared" si="6"/>
        <v>0.4035555555555555</v>
      </c>
      <c r="K42" s="10">
        <f t="shared" si="6"/>
        <v>0.9470222222222221</v>
      </c>
      <c r="L42" s="10">
        <f t="shared" si="6"/>
        <v>0.86955555555555597</v>
      </c>
      <c r="M42" s="10">
        <f t="shared" si="6"/>
        <v>0.75133333333333319</v>
      </c>
    </row>
  </sheetData>
  <mergeCells count="6">
    <mergeCell ref="A36:A39"/>
    <mergeCell ref="C2:M2"/>
    <mergeCell ref="A4:A10"/>
    <mergeCell ref="A12:A18"/>
    <mergeCell ref="A20:A23"/>
    <mergeCell ref="A28:A3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Q33" sqref="Q33"/>
    </sheetView>
  </sheetViews>
  <sheetFormatPr defaultRowHeight="14.4" x14ac:dyDescent="0.3"/>
  <cols>
    <col min="1" max="1" width="34.88671875" bestFit="1" customWidth="1"/>
    <col min="2" max="2" width="10.88671875" bestFit="1" customWidth="1"/>
    <col min="3" max="4" width="10.44140625" bestFit="1" customWidth="1"/>
  </cols>
  <sheetData>
    <row r="1" spans="1:6" x14ac:dyDescent="0.3">
      <c r="A1" s="1" t="s">
        <v>191</v>
      </c>
    </row>
    <row r="2" spans="1:6" x14ac:dyDescent="0.3">
      <c r="A2" s="1"/>
      <c r="B2" s="209" t="s">
        <v>3</v>
      </c>
      <c r="C2" s="209"/>
      <c r="D2" s="209"/>
      <c r="E2" s="207" t="s">
        <v>4</v>
      </c>
      <c r="F2" s="207" t="s">
        <v>5</v>
      </c>
    </row>
    <row r="3" spans="1:6" x14ac:dyDescent="0.3">
      <c r="A3" s="14"/>
      <c r="B3" s="25" t="s">
        <v>147</v>
      </c>
      <c r="C3" s="25" t="s">
        <v>8</v>
      </c>
      <c r="D3" s="25" t="s">
        <v>9</v>
      </c>
      <c r="E3" s="207"/>
      <c r="F3" s="207"/>
    </row>
    <row r="4" spans="1:6" x14ac:dyDescent="0.3">
      <c r="A4" s="16" t="s">
        <v>192</v>
      </c>
      <c r="B4" s="9">
        <v>9.42</v>
      </c>
      <c r="C4" s="9">
        <v>9.6999999999999993</v>
      </c>
      <c r="D4" s="9">
        <v>10.7</v>
      </c>
      <c r="E4" s="9">
        <f>(B4+C4+D4)/3</f>
        <v>9.94</v>
      </c>
      <c r="F4" s="9">
        <f>(ABS(B4-E4)+ABS(C4-E4)+ABS(D4-E4))/3</f>
        <v>0.50666666666666649</v>
      </c>
    </row>
    <row r="5" spans="1:6" x14ac:dyDescent="0.3">
      <c r="A5" s="16" t="s">
        <v>193</v>
      </c>
      <c r="B5" s="9">
        <v>11.44</v>
      </c>
      <c r="C5" s="9">
        <v>11.73</v>
      </c>
      <c r="D5" s="9">
        <v>10.44</v>
      </c>
      <c r="E5" s="9">
        <f>(B5+C5+D5)/3</f>
        <v>11.203333333333333</v>
      </c>
      <c r="F5" s="9">
        <f>(ABS(B5-E5)+ABS(C5-E5)+ABS(D5-E5))/3</f>
        <v>0.50888888888888906</v>
      </c>
    </row>
    <row r="6" spans="1:6" x14ac:dyDescent="0.3">
      <c r="A6" s="16" t="s">
        <v>194</v>
      </c>
      <c r="B6" s="9">
        <v>8.1</v>
      </c>
      <c r="C6" s="9">
        <v>13.67</v>
      </c>
      <c r="D6" s="9">
        <v>8.58</v>
      </c>
      <c r="E6" s="9">
        <f>(B6+C6+D6)/3</f>
        <v>10.116666666666667</v>
      </c>
      <c r="F6" s="9">
        <f>(ABS(B6-E6)+ABS(C6-E6)+ABS(D6-E6))/3</f>
        <v>2.3688888888888893</v>
      </c>
    </row>
  </sheetData>
  <mergeCells count="3">
    <mergeCell ref="B2:D2"/>
    <mergeCell ref="E2:E3"/>
    <mergeCell ref="F2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workbookViewId="0">
      <selection activeCell="A6" sqref="A6"/>
    </sheetView>
  </sheetViews>
  <sheetFormatPr defaultRowHeight="14.4" x14ac:dyDescent="0.3"/>
  <cols>
    <col min="1" max="1" width="35.6640625" customWidth="1"/>
    <col min="2" max="2" width="10.33203125" customWidth="1"/>
    <col min="3" max="4" width="12.109375" bestFit="1" customWidth="1"/>
    <col min="5" max="5" width="10.5546875" bestFit="1" customWidth="1"/>
    <col min="7" max="8" width="10.44140625" bestFit="1" customWidth="1"/>
    <col min="9" max="9" width="10.109375" customWidth="1"/>
    <col min="12" max="12" width="10.44140625" customWidth="1"/>
    <col min="13" max="13" width="10.5546875" bestFit="1" customWidth="1"/>
    <col min="14" max="14" width="10.44140625" bestFit="1" customWidth="1"/>
    <col min="16" max="16" width="10.33203125" customWidth="1"/>
  </cols>
  <sheetData>
    <row r="1" spans="1:16" x14ac:dyDescent="0.3">
      <c r="A1" s="1" t="s">
        <v>392</v>
      </c>
    </row>
    <row r="2" spans="1:16" x14ac:dyDescent="0.3">
      <c r="A2" t="s">
        <v>148</v>
      </c>
    </row>
    <row r="3" spans="1:16" x14ac:dyDescent="0.3">
      <c r="A3" t="s">
        <v>149</v>
      </c>
    </row>
    <row r="5" spans="1:16" x14ac:dyDescent="0.3">
      <c r="A5" t="s">
        <v>365</v>
      </c>
    </row>
    <row r="6" spans="1:16" x14ac:dyDescent="0.3">
      <c r="A6" t="s">
        <v>366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x14ac:dyDescent="0.3">
      <c r="A7" t="s">
        <v>367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6" x14ac:dyDescent="0.3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x14ac:dyDescent="0.3">
      <c r="A9" t="s">
        <v>153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t="s">
        <v>154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"/>
      <c r="B12" s="208" t="s">
        <v>155</v>
      </c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</row>
    <row r="13" spans="1:16" x14ac:dyDescent="0.3">
      <c r="B13" s="209" t="s">
        <v>16</v>
      </c>
      <c r="C13" s="209"/>
      <c r="D13" s="209"/>
      <c r="E13" s="223" t="s">
        <v>4</v>
      </c>
      <c r="F13" s="223" t="s">
        <v>5</v>
      </c>
      <c r="G13" s="209" t="s">
        <v>156</v>
      </c>
      <c r="H13" s="209"/>
      <c r="I13" s="209"/>
      <c r="J13" s="223" t="s">
        <v>4</v>
      </c>
      <c r="K13" s="223" t="s">
        <v>5</v>
      </c>
      <c r="L13" s="209" t="s">
        <v>157</v>
      </c>
      <c r="M13" s="209"/>
      <c r="N13" s="209"/>
      <c r="O13" s="223" t="s">
        <v>4</v>
      </c>
      <c r="P13" s="223" t="s">
        <v>5</v>
      </c>
    </row>
    <row r="14" spans="1:16" x14ac:dyDescent="0.3">
      <c r="B14" t="s">
        <v>7</v>
      </c>
      <c r="C14" t="s">
        <v>8</v>
      </c>
      <c r="D14" t="s">
        <v>9</v>
      </c>
      <c r="E14" s="223"/>
      <c r="F14" s="223"/>
      <c r="G14" t="s">
        <v>7</v>
      </c>
      <c r="H14" t="s">
        <v>8</v>
      </c>
      <c r="I14" t="s">
        <v>9</v>
      </c>
      <c r="J14" s="223"/>
      <c r="K14" s="223"/>
      <c r="L14" t="s">
        <v>7</v>
      </c>
      <c r="M14" t="s">
        <v>8</v>
      </c>
      <c r="N14" t="s">
        <v>9</v>
      </c>
      <c r="O14" s="223"/>
      <c r="P14" s="223"/>
    </row>
    <row r="15" spans="1:16" x14ac:dyDescent="0.3">
      <c r="A15" t="s">
        <v>158</v>
      </c>
      <c r="B15" s="9">
        <v>14.32</v>
      </c>
      <c r="C15" s="9">
        <v>19.2</v>
      </c>
      <c r="D15" s="9">
        <v>9.25</v>
      </c>
      <c r="E15" s="10">
        <f>AVERAGE(B15:D15)</f>
        <v>14.256666666666666</v>
      </c>
      <c r="F15" s="10">
        <f>(ABS(B15-E15)+ABS(C15-E15)+ABS(D15-E15))/3</f>
        <v>3.3377777777777777</v>
      </c>
      <c r="G15" s="9">
        <v>0</v>
      </c>
      <c r="H15" s="9">
        <v>0</v>
      </c>
      <c r="I15" s="9">
        <v>0</v>
      </c>
      <c r="J15" s="10">
        <f>AVERAGE(G15:I15)</f>
        <v>0</v>
      </c>
      <c r="K15" s="10">
        <f>(ABS(G15-J15)+ABS(H15-J15)+ABS(I15-J15))/3</f>
        <v>0</v>
      </c>
      <c r="L15" s="9">
        <v>54.12</v>
      </c>
      <c r="M15" s="9">
        <v>20.3</v>
      </c>
      <c r="N15" s="9">
        <v>90.13</v>
      </c>
      <c r="O15" s="10">
        <f>AVERAGE(L15:N15)</f>
        <v>54.85</v>
      </c>
      <c r="P15" s="10">
        <f>(ABS(L15-O15)+ABS(M15-O15)+ABS(N15-O15))/3</f>
        <v>23.52</v>
      </c>
    </row>
    <row r="16" spans="1:16" x14ac:dyDescent="0.3">
      <c r="A16" t="s">
        <v>159</v>
      </c>
      <c r="B16" s="9">
        <v>0</v>
      </c>
      <c r="C16" s="9">
        <v>0</v>
      </c>
      <c r="D16" s="9">
        <v>0</v>
      </c>
      <c r="E16" s="10">
        <f>AVERAGE(B16:D16)</f>
        <v>0</v>
      </c>
      <c r="F16" s="10">
        <f>(ABS(B16-E16)+ABS(C16-E16)+ABS(D16-E16))/3</f>
        <v>0</v>
      </c>
      <c r="G16" s="9">
        <v>0</v>
      </c>
      <c r="H16" s="9">
        <v>0</v>
      </c>
      <c r="I16" s="9">
        <v>0</v>
      </c>
      <c r="J16" s="10">
        <f>AVERAGE(G16:I16)</f>
        <v>0</v>
      </c>
      <c r="K16" s="10">
        <f>(ABS(G16-J16)+ABS(H16-J16)+ABS(I16-J16))/3</f>
        <v>0</v>
      </c>
      <c r="L16" s="9">
        <v>926.32</v>
      </c>
      <c r="M16" s="9">
        <v>821.2</v>
      </c>
      <c r="N16" s="9">
        <v>434.32</v>
      </c>
      <c r="O16" s="10">
        <f>AVERAGE(L16:N16)</f>
        <v>727.28000000000009</v>
      </c>
      <c r="P16" s="10">
        <f>(ABS(L16-O16)+ABS(M16-O16)+ABS(N16-O16))/3</f>
        <v>195.3066666666667</v>
      </c>
    </row>
    <row r="17" spans="1:16" x14ac:dyDescent="0.3">
      <c r="A17" t="s">
        <v>160</v>
      </c>
      <c r="B17" s="9">
        <v>83.35</v>
      </c>
      <c r="C17" s="9">
        <v>78.099999999999994</v>
      </c>
      <c r="D17" s="9">
        <v>24.81</v>
      </c>
      <c r="E17" s="10">
        <f>AVERAGE(B17:D17)</f>
        <v>62.086666666666666</v>
      </c>
      <c r="F17" s="10">
        <f>(ABS(B17-E17)+ABS(C17-E17)+ABS(D17-E17))/3</f>
        <v>24.851111111111109</v>
      </c>
      <c r="G17" s="9">
        <v>59.1</v>
      </c>
      <c r="H17" s="9">
        <v>72.2</v>
      </c>
      <c r="I17" s="9">
        <v>49.02</v>
      </c>
      <c r="J17" s="10">
        <f>AVERAGE(G17:I17)</f>
        <v>60.106666666666676</v>
      </c>
      <c r="K17" s="10">
        <f>(ABS(G17-J17)+ABS(H17-J17)+ABS(I17-J17))/3</f>
        <v>8.0622222222222248</v>
      </c>
      <c r="L17" s="9">
        <v>32.549999999999997</v>
      </c>
      <c r="M17" s="9">
        <v>46.24</v>
      </c>
      <c r="N17" s="9">
        <v>138.12</v>
      </c>
      <c r="O17" s="10">
        <f>AVERAGE(L17:N17)</f>
        <v>72.303333333333327</v>
      </c>
      <c r="P17" s="10">
        <f>(ABS(L17-O17)+ABS(M17-O17)+ABS(N17-O17))/3</f>
        <v>43.877777777777773</v>
      </c>
    </row>
    <row r="18" spans="1:16" x14ac:dyDescent="0.3">
      <c r="A18" t="s">
        <v>161</v>
      </c>
      <c r="B18" s="9">
        <v>9.01</v>
      </c>
      <c r="C18" s="9">
        <v>6.46</v>
      </c>
      <c r="D18" s="9">
        <v>12.36</v>
      </c>
      <c r="E18" s="10">
        <f>AVERAGE(B18:D18)</f>
        <v>9.2766666666666655</v>
      </c>
      <c r="F18" s="10">
        <f>(ABS(B18-E18)+ABS(C18-E18)+ABS(D18-E18))/3</f>
        <v>2.0555555555555549</v>
      </c>
      <c r="G18" s="9">
        <v>7.1</v>
      </c>
      <c r="H18" s="9">
        <v>5.23</v>
      </c>
      <c r="I18" s="9">
        <v>9.18</v>
      </c>
      <c r="J18" s="10">
        <f>AVERAGE(G18:I18)</f>
        <v>7.169999999999999</v>
      </c>
      <c r="K18" s="10">
        <f>(ABS(G18-J18)+ABS(H18-J18)+ABS(I18-J18))/3</f>
        <v>1.3399999999999996</v>
      </c>
      <c r="L18" s="9">
        <v>962.86</v>
      </c>
      <c r="M18" s="9">
        <v>1353.62</v>
      </c>
      <c r="N18" s="9">
        <v>904.21</v>
      </c>
      <c r="O18" s="10">
        <f>AVERAGE(L18:N18)</f>
        <v>1073.5633333333333</v>
      </c>
      <c r="P18" s="10">
        <f>(ABS(L18-O18)+ABS(M18-O18)+ABS(N18-O18))/3</f>
        <v>186.70444444444436</v>
      </c>
    </row>
    <row r="19" spans="1:16" x14ac:dyDescent="0.3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6" x14ac:dyDescent="0.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 x14ac:dyDescent="0.3">
      <c r="B21" s="208" t="s">
        <v>162</v>
      </c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</row>
    <row r="22" spans="1:16" x14ac:dyDescent="0.3">
      <c r="B22" s="209" t="s">
        <v>16</v>
      </c>
      <c r="C22" s="209"/>
      <c r="D22" s="209"/>
      <c r="E22" s="223" t="s">
        <v>4</v>
      </c>
      <c r="F22" s="223" t="s">
        <v>5</v>
      </c>
      <c r="G22" s="209" t="s">
        <v>156</v>
      </c>
      <c r="H22" s="209"/>
      <c r="I22" s="209"/>
      <c r="J22" s="223" t="s">
        <v>4</v>
      </c>
      <c r="K22" s="223" t="s">
        <v>5</v>
      </c>
      <c r="L22" s="209" t="s">
        <v>157</v>
      </c>
      <c r="M22" s="209"/>
      <c r="N22" s="209"/>
      <c r="O22" s="223" t="s">
        <v>4</v>
      </c>
      <c r="P22" s="223" t="s">
        <v>5</v>
      </c>
    </row>
    <row r="23" spans="1:16" x14ac:dyDescent="0.3">
      <c r="B23" t="s">
        <v>7</v>
      </c>
      <c r="C23" t="s">
        <v>8</v>
      </c>
      <c r="D23" t="s">
        <v>9</v>
      </c>
      <c r="E23" s="223"/>
      <c r="F23" s="223"/>
      <c r="G23" t="s">
        <v>7</v>
      </c>
      <c r="H23" t="s">
        <v>8</v>
      </c>
      <c r="I23" t="s">
        <v>9</v>
      </c>
      <c r="J23" s="223"/>
      <c r="K23" s="223"/>
      <c r="L23" t="s">
        <v>7</v>
      </c>
      <c r="M23" t="s">
        <v>8</v>
      </c>
      <c r="N23" t="s">
        <v>9</v>
      </c>
      <c r="O23" s="223"/>
      <c r="P23" s="223"/>
    </row>
    <row r="24" spans="1:16" x14ac:dyDescent="0.3">
      <c r="A24" t="s">
        <v>158</v>
      </c>
      <c r="B24" s="26">
        <f>2/5*B15/881.3*10*1000</f>
        <v>64.994893906728706</v>
      </c>
      <c r="C24" s="26">
        <f>2/5*C15/881.3*10*1000</f>
        <v>87.143991830250769</v>
      </c>
      <c r="D24" s="26">
        <f>2/5*D15/881.3*10*1000</f>
        <v>41.983433564053108</v>
      </c>
      <c r="E24" s="6">
        <f>AVERAGE(B24:D24)</f>
        <v>64.707439767010868</v>
      </c>
      <c r="F24" s="6">
        <f>(ABS(B24-E24)+ABS(C24-E24)+ABS(D24-E24))/3</f>
        <v>15.1493374686385</v>
      </c>
      <c r="G24" s="26">
        <f>2/5*G15/881.3*10*1000</f>
        <v>0</v>
      </c>
      <c r="H24" s="26">
        <f t="shared" ref="H24:N27" si="0">2/5*H15/881.3*10*1000</f>
        <v>0</v>
      </c>
      <c r="I24" s="26">
        <f t="shared" si="0"/>
        <v>0</v>
      </c>
      <c r="J24" s="6">
        <f>AVERAGE(G24:I24)</f>
        <v>0</v>
      </c>
      <c r="K24" s="6">
        <f>(ABS(G24-J24)+ABS(H24-J24)+ABS(I24-J24))/3</f>
        <v>0</v>
      </c>
      <c r="L24" s="26">
        <f t="shared" si="0"/>
        <v>245.63712697151934</v>
      </c>
      <c r="M24" s="26">
        <f t="shared" si="0"/>
        <v>92.136616362192228</v>
      </c>
      <c r="N24" s="26">
        <f t="shared" si="0"/>
        <v>409.07749914898449</v>
      </c>
      <c r="O24" s="6">
        <f>AVERAGE(L24:N24)</f>
        <v>248.9504141608987</v>
      </c>
      <c r="P24" s="6">
        <f>(ABS(L24-O24)+ABS(M24-O24)+ABS(N24-O24))/3</f>
        <v>106.75138999205721</v>
      </c>
    </row>
    <row r="25" spans="1:16" x14ac:dyDescent="0.3">
      <c r="A25" t="s">
        <v>159</v>
      </c>
      <c r="B25" s="26">
        <f t="shared" ref="B25:C27" si="1">2/5*B16/881.3*10*1000</f>
        <v>0</v>
      </c>
      <c r="C25" s="26">
        <f t="shared" si="1"/>
        <v>0</v>
      </c>
      <c r="D25" s="26">
        <f t="shared" ref="D25:I26" si="2">2/5*D16/881.3*10*1000</f>
        <v>0</v>
      </c>
      <c r="E25" s="6">
        <f>AVERAGE(B25:D25)</f>
        <v>0</v>
      </c>
      <c r="F25" s="6">
        <f>(ABS(B25-E25)+ABS(C25-E25)+ABS(D25-E25))/3</f>
        <v>0</v>
      </c>
      <c r="G25" s="26">
        <f t="shared" si="2"/>
        <v>0</v>
      </c>
      <c r="H25" s="26">
        <f t="shared" si="2"/>
        <v>0</v>
      </c>
      <c r="I25" s="26">
        <f t="shared" si="2"/>
        <v>0</v>
      </c>
      <c r="J25" s="6">
        <f>AVERAGE(G25:I25)</f>
        <v>0</v>
      </c>
      <c r="K25" s="6">
        <f>(ABS(G25-J25)+ABS(H25-J25)+ABS(I25-J25))/3</f>
        <v>0</v>
      </c>
      <c r="L25" s="26">
        <f t="shared" si="0"/>
        <v>4204.3345058436398</v>
      </c>
      <c r="M25" s="26">
        <f t="shared" si="0"/>
        <v>3727.2211505730174</v>
      </c>
      <c r="N25" s="26">
        <f t="shared" si="0"/>
        <v>1971.2697151934644</v>
      </c>
      <c r="O25" s="6">
        <f>AVERAGE(L25:N25)</f>
        <v>3300.9417905367068</v>
      </c>
      <c r="P25" s="6">
        <f>(ABS(L25-O25)+ABS(M25-O25)+ABS(N25-O25))/3</f>
        <v>886.44805022882872</v>
      </c>
    </row>
    <row r="26" spans="1:16" x14ac:dyDescent="0.3">
      <c r="A26" t="s">
        <v>163</v>
      </c>
      <c r="B26" s="26">
        <f t="shared" si="1"/>
        <v>378.30477703392711</v>
      </c>
      <c r="C26" s="26">
        <f t="shared" si="1"/>
        <v>354.47634176784294</v>
      </c>
      <c r="D26" s="26">
        <f>2/5*D17/881.3*10*1000</f>
        <v>112.60637694315217</v>
      </c>
      <c r="E26" s="6">
        <f>AVERAGE(B26:D26)</f>
        <v>281.79583191497409</v>
      </c>
      <c r="F26" s="6">
        <f>(ABS(B26-E26)+ABS(C26-E26)+ABS(D26-E26))/3</f>
        <v>112.7929699812146</v>
      </c>
      <c r="G26" s="26">
        <f t="shared" si="2"/>
        <v>268.24009985249063</v>
      </c>
      <c r="H26" s="26">
        <f t="shared" si="2"/>
        <v>327.69771927833892</v>
      </c>
      <c r="I26" s="26">
        <f t="shared" si="2"/>
        <v>222.48950414160905</v>
      </c>
      <c r="J26" s="6">
        <f>AVERAGE(G26:I26)</f>
        <v>272.80910775747952</v>
      </c>
      <c r="K26" s="6">
        <f>(ABS(G26-J26)+ABS(H26-J26)+ABS(I26-J26))/3</f>
        <v>36.592407680572926</v>
      </c>
      <c r="L26" s="26">
        <f t="shared" si="0"/>
        <v>147.73629864972199</v>
      </c>
      <c r="M26" s="26">
        <f t="shared" si="0"/>
        <v>209.87178032452064</v>
      </c>
      <c r="N26" s="26">
        <f t="shared" si="0"/>
        <v>626.89209122886655</v>
      </c>
      <c r="O26" s="6">
        <f>AVERAGE(L26:N26)</f>
        <v>328.16672340103639</v>
      </c>
      <c r="P26" s="6">
        <f>(ABS(L26-O26)+ABS(M26-O26)+ABS(N26-O26))/3</f>
        <v>199.15024521855344</v>
      </c>
    </row>
    <row r="27" spans="1:16" x14ac:dyDescent="0.3">
      <c r="A27" t="s">
        <v>161</v>
      </c>
      <c r="B27" s="26">
        <f t="shared" si="1"/>
        <v>40.894133666174966</v>
      </c>
      <c r="C27" s="26">
        <f t="shared" si="1"/>
        <v>29.320322251219793</v>
      </c>
      <c r="D27" s="26">
        <f t="shared" ref="D27:I27" si="3">2/5*D18/881.3*10*1000</f>
        <v>56.09894474072393</v>
      </c>
      <c r="E27" s="6">
        <f>AVERAGE(B27:D27)</f>
        <v>42.104466886039567</v>
      </c>
      <c r="F27" s="6">
        <f>(ABS(B27-E27)+ABS(C27-E27)+ABS(D27-E27))/3</f>
        <v>9.3296519031229135</v>
      </c>
      <c r="G27" s="26">
        <f t="shared" si="3"/>
        <v>32.225121978894812</v>
      </c>
      <c r="H27" s="26">
        <f t="shared" si="3"/>
        <v>23.737660274594351</v>
      </c>
      <c r="I27" s="26">
        <f t="shared" si="3"/>
        <v>41.665721093838648</v>
      </c>
      <c r="J27" s="6">
        <f>AVERAGE(G27:I27)</f>
        <v>32.542834449109272</v>
      </c>
      <c r="K27" s="6">
        <f>(ABS(G27-J27)+ABS(H27-J27)+ABS(I27-J27))/3</f>
        <v>6.081924429819586</v>
      </c>
      <c r="L27" s="26">
        <f t="shared" si="0"/>
        <v>4370.1804152955865</v>
      </c>
      <c r="M27" s="26">
        <f t="shared" si="0"/>
        <v>6143.7421990241692</v>
      </c>
      <c r="N27" s="26">
        <f t="shared" si="0"/>
        <v>4103.9827527516181</v>
      </c>
      <c r="O27" s="6">
        <f>AVERAGE(L27:N27)</f>
        <v>4872.6351223571246</v>
      </c>
      <c r="P27" s="6">
        <f>(ABS(L27-O27)+ABS(M27-O27)+ABS(N27-O27))/3</f>
        <v>847.40471777802975</v>
      </c>
    </row>
    <row r="28" spans="1:16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 x14ac:dyDescent="0.3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 x14ac:dyDescent="0.3">
      <c r="B30" s="208" t="s">
        <v>164</v>
      </c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</row>
    <row r="31" spans="1:16" x14ac:dyDescent="0.3">
      <c r="B31" s="209" t="s">
        <v>16</v>
      </c>
      <c r="C31" s="209"/>
      <c r="D31" s="209"/>
      <c r="E31" s="223" t="s">
        <v>4</v>
      </c>
      <c r="F31" s="223" t="s">
        <v>5</v>
      </c>
      <c r="G31" s="209" t="s">
        <v>156</v>
      </c>
      <c r="H31" s="209"/>
      <c r="I31" s="209"/>
      <c r="J31" s="223" t="s">
        <v>4</v>
      </c>
      <c r="K31" s="223" t="s">
        <v>5</v>
      </c>
      <c r="L31" s="209" t="s">
        <v>157</v>
      </c>
      <c r="M31" s="209"/>
      <c r="N31" s="209"/>
      <c r="O31" s="223" t="s">
        <v>4</v>
      </c>
      <c r="P31" s="223" t="s">
        <v>5</v>
      </c>
    </row>
    <row r="32" spans="1:16" x14ac:dyDescent="0.3">
      <c r="A32" s="1"/>
      <c r="B32" t="s">
        <v>7</v>
      </c>
      <c r="C32" t="s">
        <v>8</v>
      </c>
      <c r="D32" t="s">
        <v>9</v>
      </c>
      <c r="E32" s="223"/>
      <c r="F32" s="223"/>
      <c r="G32" t="s">
        <v>7</v>
      </c>
      <c r="H32" t="s">
        <v>8</v>
      </c>
      <c r="I32" t="s">
        <v>9</v>
      </c>
      <c r="J32" s="223"/>
      <c r="K32" s="223"/>
      <c r="L32" t="s">
        <v>7</v>
      </c>
      <c r="M32" t="s">
        <v>8</v>
      </c>
      <c r="N32" t="s">
        <v>9</v>
      </c>
      <c r="O32" s="223"/>
      <c r="P32" s="223"/>
    </row>
    <row r="33" spans="1:21" x14ac:dyDescent="0.3">
      <c r="A33" t="s">
        <v>158</v>
      </c>
      <c r="B33" s="26">
        <f>B24/136.238</f>
        <v>0.47706876133478698</v>
      </c>
      <c r="C33" s="26">
        <f>C24/136.238</f>
        <v>0.63964526659412768</v>
      </c>
      <c r="D33" s="26">
        <f>D24/136.238</f>
        <v>0.30816243312477509</v>
      </c>
      <c r="E33" s="6">
        <f>AVERAGE(B33:D33)</f>
        <v>0.47495882035122988</v>
      </c>
      <c r="F33" s="6">
        <f>(ABS(B33-E33)+ABS(C33-E33)+ABS(D33-E33))/3</f>
        <v>0.11119759148430323</v>
      </c>
      <c r="G33" s="26">
        <f>G24/154.25</f>
        <v>0</v>
      </c>
      <c r="H33" s="26">
        <f>H24/154.25</f>
        <v>0</v>
      </c>
      <c r="I33" s="26">
        <f>I24/154.25</f>
        <v>0</v>
      </c>
      <c r="J33" s="6">
        <f>AVERAGE(G33:I33)</f>
        <v>0</v>
      </c>
      <c r="K33" s="6">
        <f>(ABS(G33-J33)+ABS(H33-J33)+ABS(I33-J33))/3</f>
        <v>0</v>
      </c>
      <c r="L33" s="26">
        <f>L24/222.37</f>
        <v>1.1046324907654779</v>
      </c>
      <c r="M33" s="26">
        <f>M24/222.37</f>
        <v>0.41433923803657069</v>
      </c>
      <c r="N33" s="26">
        <f>N24/222.37</f>
        <v>1.8396253952825672</v>
      </c>
      <c r="O33" s="6">
        <f>AVERAGE(L33:N33)</f>
        <v>1.119532374694872</v>
      </c>
      <c r="P33" s="6">
        <f>(ABS(L33-O33)+ABS(M33-O33)+ABS(N33-O33))/3</f>
        <v>0.48006201372513019</v>
      </c>
    </row>
    <row r="34" spans="1:21" x14ac:dyDescent="0.3">
      <c r="A34" t="s">
        <v>159</v>
      </c>
      <c r="B34" s="26">
        <f t="shared" ref="B34:D36" si="4">B25/136.238</f>
        <v>0</v>
      </c>
      <c r="C34" s="26">
        <f t="shared" si="4"/>
        <v>0</v>
      </c>
      <c r="D34" s="26">
        <f t="shared" si="4"/>
        <v>0</v>
      </c>
      <c r="E34" s="6">
        <f>AVERAGE(B34:D34)</f>
        <v>0</v>
      </c>
      <c r="F34" s="6">
        <f>(ABS(B34-E34)+ABS(C34-E34)+ABS(D34-E34))/3</f>
        <v>0</v>
      </c>
      <c r="G34" s="26">
        <f t="shared" ref="G34:I36" si="5">G25/154.25</f>
        <v>0</v>
      </c>
      <c r="H34" s="26">
        <f t="shared" si="5"/>
        <v>0</v>
      </c>
      <c r="I34" s="26">
        <f t="shared" si="5"/>
        <v>0</v>
      </c>
      <c r="J34" s="6">
        <f>AVERAGE(G34:I34)</f>
        <v>0</v>
      </c>
      <c r="K34" s="6">
        <f>(ABS(G34-J34)+ABS(H34-J34)+ABS(I34-J34))/3</f>
        <v>0</v>
      </c>
      <c r="L34" s="26">
        <f t="shared" ref="L34:N36" si="6">L25/222.37</f>
        <v>18.906932166405721</v>
      </c>
      <c r="M34" s="26">
        <f t="shared" si="6"/>
        <v>16.761348880572996</v>
      </c>
      <c r="N34" s="26">
        <f t="shared" si="6"/>
        <v>8.8648186139922842</v>
      </c>
      <c r="O34" s="6">
        <f>AVERAGE(L34:N34)</f>
        <v>14.844366553657002</v>
      </c>
      <c r="P34" s="6">
        <f>(ABS(L34-O34)+ABS(M34-O34)+ABS(N34-O34))/3</f>
        <v>3.9863652931098099</v>
      </c>
    </row>
    <row r="35" spans="1:21" x14ac:dyDescent="0.3">
      <c r="A35" t="s">
        <v>163</v>
      </c>
      <c r="B35" s="26">
        <f t="shared" si="4"/>
        <v>2.7767933838864862</v>
      </c>
      <c r="C35" s="26">
        <f t="shared" si="4"/>
        <v>2.6018903813021548</v>
      </c>
      <c r="D35" s="26">
        <f t="shared" si="4"/>
        <v>0.82654161792709946</v>
      </c>
      <c r="E35" s="6">
        <f>AVERAGE(B35:D35)</f>
        <v>2.06840846103858</v>
      </c>
      <c r="F35" s="6">
        <f>(ABS(B35-E35)+ABS(C35-E35)+ABS(D35-E35))/3</f>
        <v>0.82791122874098722</v>
      </c>
      <c r="G35" s="26">
        <f t="shared" si="5"/>
        <v>1.7389957851052877</v>
      </c>
      <c r="H35" s="26">
        <f t="shared" si="5"/>
        <v>2.1244584718206738</v>
      </c>
      <c r="I35" s="26">
        <f t="shared" si="5"/>
        <v>1.4423954887624573</v>
      </c>
      <c r="J35" s="6">
        <f>AVERAGE(G35:I35)</f>
        <v>1.7686165818961397</v>
      </c>
      <c r="K35" s="6">
        <f>(ABS(G35-J35)+ABS(H35-J35)+ABS(I35-J35))/3</f>
        <v>0.23722792661635617</v>
      </c>
      <c r="L35" s="26">
        <f t="shared" si="6"/>
        <v>0.66437153685174255</v>
      </c>
      <c r="M35" s="26">
        <f t="shared" si="6"/>
        <v>0.94379538752763703</v>
      </c>
      <c r="N35" s="26">
        <f t="shared" si="6"/>
        <v>2.8191396826409432</v>
      </c>
      <c r="O35" s="6">
        <f>AVERAGE(L35:N35)</f>
        <v>1.4757688690067743</v>
      </c>
      <c r="P35" s="6">
        <f>(ABS(L35-O35)+ABS(M35-O35)+ABS(N35-O35))/3</f>
        <v>0.8955805424227794</v>
      </c>
    </row>
    <row r="36" spans="1:21" x14ac:dyDescent="0.3">
      <c r="A36" t="s">
        <v>161</v>
      </c>
      <c r="B36" s="26">
        <f t="shared" si="4"/>
        <v>0.30016686729234843</v>
      </c>
      <c r="C36" s="26">
        <f t="shared" si="4"/>
        <v>0.21521398032281591</v>
      </c>
      <c r="D36" s="26">
        <f t="shared" si="4"/>
        <v>0.41177164036996966</v>
      </c>
      <c r="E36" s="6">
        <f>AVERAGE(B36:D36)</f>
        <v>0.30905082932837802</v>
      </c>
      <c r="F36" s="6">
        <f>(ABS(B36-E36)+ABS(C36-E36)+ABS(D36-E36))/3</f>
        <v>6.8480540694394451E-2</v>
      </c>
      <c r="G36" s="26">
        <f t="shared" si="5"/>
        <v>0.20891489127322407</v>
      </c>
      <c r="H36" s="26">
        <f t="shared" si="5"/>
        <v>0.15389082836041718</v>
      </c>
      <c r="I36" s="26">
        <f t="shared" si="5"/>
        <v>0.27011812702650662</v>
      </c>
      <c r="J36" s="6">
        <f>AVERAGE(G36:I36)</f>
        <v>0.21097461555338262</v>
      </c>
      <c r="K36" s="6">
        <f>(ABS(G36-J36)+ABS(H36-J36)+ABS(I36-J36))/3</f>
        <v>3.9429007648749327E-2</v>
      </c>
      <c r="L36" s="26">
        <f t="shared" si="6"/>
        <v>19.65274279487155</v>
      </c>
      <c r="M36" s="26">
        <f t="shared" si="6"/>
        <v>27.628466965076985</v>
      </c>
      <c r="N36" s="26">
        <f t="shared" si="6"/>
        <v>18.455649380544219</v>
      </c>
      <c r="O36" s="6">
        <f>AVERAGE(L36:N36)</f>
        <v>21.91228638016425</v>
      </c>
      <c r="P36" s="6">
        <f>(ABS(L36-O36)+ABS(M36-O36)+ABS(N36-O36))/3</f>
        <v>3.8107870566084885</v>
      </c>
    </row>
    <row r="37" spans="1:21" x14ac:dyDescent="0.3">
      <c r="B37" s="26"/>
      <c r="C37" s="26"/>
      <c r="D37" s="26"/>
      <c r="E37" s="6"/>
      <c r="F37" s="6"/>
      <c r="G37" s="26"/>
      <c r="H37" s="26"/>
      <c r="I37" s="26"/>
      <c r="J37" s="6"/>
      <c r="K37" s="6"/>
      <c r="L37" s="26"/>
      <c r="M37" s="26"/>
      <c r="N37" s="26"/>
      <c r="O37" s="6"/>
      <c r="P37" s="6"/>
    </row>
    <row r="38" spans="1:21" x14ac:dyDescent="0.3">
      <c r="B38" s="26"/>
      <c r="C38" s="26"/>
      <c r="D38" s="26"/>
      <c r="E38" s="6"/>
      <c r="F38" s="6"/>
      <c r="G38" s="26"/>
      <c r="H38" s="26"/>
      <c r="I38" s="26"/>
      <c r="J38" s="6"/>
      <c r="K38" s="6"/>
      <c r="L38" s="26"/>
      <c r="M38" s="26"/>
      <c r="N38" s="26"/>
      <c r="O38" s="6"/>
      <c r="P38" s="6"/>
    </row>
    <row r="39" spans="1:21" x14ac:dyDescent="0.3">
      <c r="A39" s="167"/>
      <c r="B39" s="168"/>
      <c r="C39" s="168"/>
      <c r="D39" s="168"/>
      <c r="E39" s="169"/>
      <c r="F39" s="169"/>
      <c r="G39" s="168"/>
      <c r="H39" s="168"/>
      <c r="I39" s="168"/>
      <c r="J39" s="169"/>
      <c r="K39" s="169"/>
      <c r="L39" s="168"/>
      <c r="M39" s="168"/>
      <c r="N39" s="168"/>
      <c r="O39" s="169"/>
      <c r="P39" s="169"/>
      <c r="Q39" s="170"/>
      <c r="R39" s="170"/>
      <c r="S39" s="170"/>
      <c r="T39" s="170"/>
      <c r="U39" s="170"/>
    </row>
    <row r="40" spans="1:21" x14ac:dyDescent="0.3">
      <c r="A40" s="167"/>
      <c r="B40" s="228"/>
      <c r="C40" s="228"/>
      <c r="D40" s="228"/>
      <c r="E40" s="228"/>
      <c r="F40" s="228"/>
      <c r="G40" s="228"/>
      <c r="H40" s="228"/>
      <c r="I40" s="228"/>
      <c r="J40" s="228"/>
      <c r="K40" s="228"/>
      <c r="L40" s="168"/>
      <c r="M40" s="168"/>
      <c r="N40" s="168"/>
      <c r="O40" s="169"/>
      <c r="P40" s="169"/>
      <c r="Q40" s="170"/>
      <c r="R40" s="170"/>
      <c r="S40" s="170"/>
      <c r="T40" s="170"/>
      <c r="U40" s="170"/>
    </row>
    <row r="41" spans="1:21" x14ac:dyDescent="0.3">
      <c r="A41" s="170"/>
      <c r="B41" s="170"/>
      <c r="C41" s="170"/>
      <c r="D41" s="170"/>
      <c r="E41" s="171"/>
      <c r="F41" s="171"/>
      <c r="G41" s="170"/>
      <c r="H41" s="170"/>
      <c r="I41" s="170"/>
      <c r="J41" s="171"/>
      <c r="K41" s="171"/>
      <c r="L41" s="168"/>
      <c r="M41" s="168"/>
      <c r="N41" s="168"/>
      <c r="O41" s="169"/>
      <c r="P41" s="169"/>
      <c r="Q41" s="170"/>
      <c r="R41" s="170"/>
      <c r="S41" s="170"/>
      <c r="T41" s="170"/>
      <c r="U41" s="170"/>
    </row>
    <row r="42" spans="1:21" x14ac:dyDescent="0.3">
      <c r="A42" s="172"/>
      <c r="B42" s="173"/>
      <c r="C42" s="173"/>
      <c r="D42" s="173"/>
      <c r="E42" s="174"/>
      <c r="F42" s="174"/>
      <c r="G42" s="173"/>
      <c r="H42" s="173"/>
      <c r="I42" s="173"/>
      <c r="J42" s="174"/>
      <c r="K42" s="174"/>
      <c r="L42" s="168"/>
      <c r="M42" s="168"/>
      <c r="N42" s="168"/>
      <c r="O42" s="169"/>
      <c r="P42" s="169"/>
      <c r="Q42" s="170"/>
      <c r="R42" s="170"/>
      <c r="S42" s="170"/>
      <c r="T42" s="170"/>
      <c r="U42" s="170"/>
    </row>
    <row r="43" spans="1:21" x14ac:dyDescent="0.3">
      <c r="A43" s="172"/>
      <c r="B43" s="173"/>
      <c r="C43" s="173"/>
      <c r="D43" s="173"/>
      <c r="E43" s="174"/>
      <c r="F43" s="174"/>
      <c r="G43" s="173"/>
      <c r="H43" s="173"/>
      <c r="I43" s="173"/>
      <c r="J43" s="174"/>
      <c r="K43" s="174"/>
      <c r="L43" s="170"/>
      <c r="M43" s="170"/>
      <c r="N43" s="170"/>
      <c r="O43" s="170"/>
      <c r="P43" s="170"/>
      <c r="Q43" s="170"/>
      <c r="R43" s="170"/>
      <c r="S43" s="170"/>
      <c r="T43" s="170"/>
      <c r="U43" s="170"/>
    </row>
    <row r="44" spans="1:21" x14ac:dyDescent="0.3">
      <c r="A44" s="172"/>
      <c r="B44" s="173"/>
      <c r="C44" s="173"/>
      <c r="D44" s="173"/>
      <c r="E44" s="169"/>
      <c r="F44" s="169"/>
      <c r="G44" s="173"/>
      <c r="H44" s="173"/>
      <c r="I44" s="173"/>
      <c r="J44" s="169"/>
      <c r="K44" s="169"/>
      <c r="L44" s="170"/>
      <c r="M44" s="170"/>
      <c r="N44" s="170"/>
      <c r="O44" s="170"/>
      <c r="P44" s="170"/>
      <c r="Q44" s="170"/>
      <c r="R44" s="170"/>
      <c r="S44" s="170"/>
      <c r="T44" s="170"/>
      <c r="U44" s="170"/>
    </row>
    <row r="45" spans="1:21" x14ac:dyDescent="0.3">
      <c r="A45" s="175"/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</row>
    <row r="46" spans="1:21" x14ac:dyDescent="0.3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</row>
    <row r="47" spans="1:21" x14ac:dyDescent="0.3">
      <c r="A47" s="170"/>
      <c r="B47" s="176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</row>
    <row r="48" spans="1:21" x14ac:dyDescent="0.3">
      <c r="A48" s="170"/>
      <c r="B48" s="176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</row>
    <row r="49" spans="1:21" x14ac:dyDescent="0.3">
      <c r="A49" s="170"/>
      <c r="B49" s="176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</row>
    <row r="50" spans="1:21" x14ac:dyDescent="0.3">
      <c r="A50" s="170"/>
      <c r="B50" s="176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</row>
    <row r="51" spans="1:21" x14ac:dyDescent="0.3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</row>
    <row r="52" spans="1:21" x14ac:dyDescent="0.3">
      <c r="A52" s="170"/>
      <c r="B52" s="228"/>
      <c r="C52" s="228"/>
      <c r="D52" s="228"/>
      <c r="E52" s="228"/>
      <c r="F52" s="228"/>
      <c r="G52" s="170"/>
      <c r="H52" s="170"/>
      <c r="I52" s="228"/>
      <c r="J52" s="228"/>
      <c r="K52" s="228"/>
      <c r="L52" s="228"/>
      <c r="M52" s="228"/>
      <c r="N52" s="170"/>
      <c r="O52" s="170"/>
      <c r="P52" s="177"/>
      <c r="Q52" s="177"/>
      <c r="R52" s="177"/>
      <c r="S52" s="177"/>
      <c r="T52" s="177"/>
      <c r="U52" s="170"/>
    </row>
    <row r="53" spans="1:21" x14ac:dyDescent="0.3">
      <c r="A53" s="170"/>
      <c r="B53" s="172"/>
      <c r="C53" s="172"/>
      <c r="D53" s="172"/>
      <c r="E53" s="170"/>
      <c r="F53" s="170"/>
      <c r="G53" s="170"/>
      <c r="H53" s="170"/>
      <c r="I53" s="172"/>
      <c r="J53" s="172"/>
      <c r="K53" s="172"/>
      <c r="L53" s="170"/>
      <c r="M53" s="170"/>
      <c r="N53" s="170"/>
      <c r="O53" s="170"/>
      <c r="P53" s="172"/>
      <c r="Q53" s="172"/>
      <c r="R53" s="172"/>
      <c r="S53" s="170"/>
      <c r="T53" s="170"/>
      <c r="U53" s="170"/>
    </row>
    <row r="54" spans="1:21" x14ac:dyDescent="0.3">
      <c r="A54" s="170"/>
      <c r="B54" s="173"/>
      <c r="C54" s="170"/>
      <c r="D54" s="170"/>
      <c r="E54" s="170"/>
      <c r="F54" s="170"/>
      <c r="G54" s="170"/>
      <c r="H54" s="170"/>
      <c r="I54" s="173"/>
      <c r="J54" s="170"/>
      <c r="K54" s="170"/>
      <c r="L54" s="170"/>
      <c r="M54" s="170"/>
      <c r="N54" s="170"/>
      <c r="O54" s="170"/>
      <c r="P54" s="173"/>
      <c r="Q54" s="170"/>
      <c r="R54" s="170"/>
      <c r="S54" s="170"/>
      <c r="T54" s="170"/>
      <c r="U54" s="170"/>
    </row>
    <row r="55" spans="1:21" x14ac:dyDescent="0.3">
      <c r="A55" s="170"/>
      <c r="B55" s="173"/>
      <c r="C55" s="170"/>
      <c r="D55" s="178"/>
      <c r="E55" s="170"/>
      <c r="F55" s="170"/>
      <c r="G55" s="170"/>
      <c r="H55" s="170"/>
      <c r="I55" s="173"/>
      <c r="J55" s="170"/>
      <c r="K55" s="178"/>
      <c r="L55" s="170"/>
      <c r="M55" s="170"/>
      <c r="N55" s="170"/>
      <c r="O55" s="170"/>
      <c r="P55" s="173"/>
      <c r="Q55" s="170"/>
      <c r="R55" s="178"/>
      <c r="S55" s="170"/>
      <c r="T55" s="170"/>
      <c r="U55" s="170"/>
    </row>
    <row r="56" spans="1:21" x14ac:dyDescent="0.3">
      <c r="A56" s="170"/>
      <c r="B56" s="173"/>
      <c r="C56" s="170"/>
      <c r="D56" s="178"/>
      <c r="E56" s="170"/>
      <c r="F56" s="170"/>
      <c r="G56" s="170"/>
      <c r="H56" s="170"/>
      <c r="I56" s="173"/>
      <c r="J56" s="170"/>
      <c r="K56" s="178"/>
      <c r="L56" s="170"/>
      <c r="M56" s="170"/>
      <c r="N56" s="170"/>
      <c r="O56" s="170"/>
      <c r="P56" s="173"/>
      <c r="Q56" s="170"/>
      <c r="R56" s="178"/>
      <c r="S56" s="170"/>
      <c r="T56" s="170"/>
      <c r="U56" s="170"/>
    </row>
    <row r="57" spans="1:21" x14ac:dyDescent="0.3">
      <c r="A57" s="170"/>
      <c r="B57" s="173"/>
      <c r="C57" s="170"/>
      <c r="D57" s="178"/>
      <c r="E57" s="170"/>
      <c r="F57" s="170"/>
      <c r="G57" s="170"/>
      <c r="H57" s="170"/>
      <c r="I57" s="173"/>
      <c r="J57" s="170"/>
      <c r="K57" s="178"/>
      <c r="L57" s="170"/>
      <c r="M57" s="170"/>
      <c r="N57" s="170"/>
      <c r="O57" s="170"/>
      <c r="P57" s="173"/>
      <c r="Q57" s="170"/>
      <c r="R57" s="178"/>
      <c r="S57" s="170"/>
      <c r="T57" s="170"/>
      <c r="U57" s="170"/>
    </row>
    <row r="58" spans="1:21" x14ac:dyDescent="0.3">
      <c r="A58" s="170"/>
      <c r="B58" s="173"/>
      <c r="C58" s="170"/>
      <c r="D58" s="178"/>
      <c r="E58" s="170"/>
      <c r="F58" s="170"/>
      <c r="G58" s="170"/>
      <c r="H58" s="170"/>
      <c r="I58" s="173"/>
      <c r="J58" s="170"/>
      <c r="K58" s="178"/>
      <c r="L58" s="170"/>
      <c r="M58" s="170"/>
      <c r="N58" s="170"/>
      <c r="O58" s="170"/>
      <c r="P58" s="173"/>
      <c r="Q58" s="170"/>
      <c r="R58" s="178"/>
      <c r="S58" s="170"/>
      <c r="T58" s="170"/>
      <c r="U58" s="170"/>
    </row>
    <row r="59" spans="1:21" x14ac:dyDescent="0.3">
      <c r="A59" s="170"/>
      <c r="B59" s="173"/>
      <c r="C59" s="170"/>
      <c r="D59" s="178"/>
      <c r="E59" s="170"/>
      <c r="F59" s="170"/>
      <c r="G59" s="170"/>
      <c r="H59" s="170"/>
      <c r="I59" s="173"/>
      <c r="J59" s="170"/>
      <c r="K59" s="178"/>
      <c r="L59" s="170"/>
      <c r="M59" s="170"/>
      <c r="N59" s="170"/>
      <c r="O59" s="170"/>
      <c r="P59" s="173"/>
      <c r="Q59" s="170"/>
      <c r="R59" s="178"/>
      <c r="S59" s="170"/>
      <c r="T59" s="170"/>
      <c r="U59" s="170"/>
    </row>
    <row r="60" spans="1:21" x14ac:dyDescent="0.3">
      <c r="A60" s="170"/>
      <c r="B60" s="173"/>
      <c r="C60" s="170"/>
      <c r="D60" s="178"/>
      <c r="E60" s="170"/>
      <c r="F60" s="170"/>
      <c r="G60" s="170"/>
      <c r="H60" s="170"/>
      <c r="I60" s="173"/>
      <c r="J60" s="170"/>
      <c r="K60" s="178"/>
      <c r="L60" s="170"/>
      <c r="M60" s="170"/>
      <c r="N60" s="170"/>
      <c r="O60" s="170"/>
      <c r="P60" s="173"/>
      <c r="Q60" s="170"/>
      <c r="R60" s="178"/>
      <c r="S60" s="170"/>
      <c r="T60" s="170"/>
      <c r="U60" s="170"/>
    </row>
    <row r="61" spans="1:21" x14ac:dyDescent="0.3">
      <c r="A61" s="170"/>
      <c r="B61" s="173"/>
      <c r="C61" s="170"/>
      <c r="D61" s="178"/>
      <c r="E61" s="170"/>
      <c r="F61" s="170"/>
      <c r="G61" s="170"/>
      <c r="H61" s="170"/>
      <c r="I61" s="173"/>
      <c r="J61" s="170"/>
      <c r="K61" s="178"/>
      <c r="L61" s="170"/>
      <c r="M61" s="170"/>
      <c r="N61" s="170"/>
      <c r="O61" s="170"/>
      <c r="P61" s="173"/>
      <c r="Q61" s="170"/>
      <c r="R61" s="178"/>
      <c r="S61" s="170"/>
      <c r="T61" s="170"/>
      <c r="U61" s="170"/>
    </row>
    <row r="62" spans="1:21" x14ac:dyDescent="0.3">
      <c r="A62" s="170"/>
      <c r="B62" s="170"/>
      <c r="C62" s="170"/>
      <c r="D62" s="178"/>
      <c r="E62" s="170"/>
      <c r="F62" s="170"/>
      <c r="G62" s="170"/>
      <c r="H62" s="170"/>
      <c r="I62" s="170"/>
      <c r="J62" s="170"/>
      <c r="K62" s="178"/>
      <c r="L62" s="170"/>
      <c r="M62" s="170"/>
      <c r="N62" s="170"/>
      <c r="O62" s="170"/>
      <c r="P62" s="170"/>
      <c r="Q62" s="170"/>
      <c r="R62" s="178"/>
      <c r="S62" s="170"/>
      <c r="T62" s="170"/>
      <c r="U62" s="170"/>
    </row>
    <row r="63" spans="1:21" x14ac:dyDescent="0.3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</row>
    <row r="64" spans="1:21" x14ac:dyDescent="0.3">
      <c r="A64" s="170"/>
      <c r="B64" s="170"/>
      <c r="C64" s="170"/>
      <c r="D64" s="179"/>
      <c r="E64" s="179"/>
      <c r="F64" s="180"/>
      <c r="G64" s="170"/>
      <c r="H64" s="170"/>
      <c r="I64" s="170"/>
      <c r="J64" s="170"/>
      <c r="K64" s="179"/>
      <c r="L64" s="179"/>
      <c r="M64" s="180"/>
      <c r="N64" s="170"/>
      <c r="O64" s="170"/>
      <c r="P64" s="170"/>
      <c r="Q64" s="170"/>
      <c r="R64" s="179"/>
      <c r="S64" s="179"/>
      <c r="T64" s="180"/>
      <c r="U64" s="170"/>
    </row>
    <row r="65" spans="1:21" x14ac:dyDescent="0.3">
      <c r="A65" s="170"/>
      <c r="B65" s="170"/>
      <c r="C65" s="170"/>
      <c r="D65" s="181"/>
      <c r="E65" s="181"/>
      <c r="F65" s="170"/>
      <c r="G65" s="170"/>
      <c r="H65" s="170"/>
      <c r="I65" s="170"/>
      <c r="J65" s="170"/>
      <c r="K65" s="170"/>
      <c r="L65" s="181"/>
      <c r="M65" s="170"/>
      <c r="N65" s="170"/>
      <c r="O65" s="170"/>
      <c r="P65" s="170"/>
      <c r="Q65" s="170"/>
      <c r="R65" s="170"/>
      <c r="S65" s="181"/>
      <c r="T65" s="170"/>
      <c r="U65" s="170"/>
    </row>
    <row r="66" spans="1:21" x14ac:dyDescent="0.3">
      <c r="A66" s="170"/>
      <c r="B66" s="170"/>
      <c r="C66" s="173"/>
      <c r="D66" s="173"/>
      <c r="E66" s="173"/>
      <c r="F66" s="170"/>
      <c r="G66" s="170"/>
      <c r="H66" s="170"/>
      <c r="I66" s="170"/>
      <c r="J66" s="173"/>
      <c r="K66" s="173"/>
      <c r="L66" s="173"/>
      <c r="M66" s="170"/>
      <c r="N66" s="170"/>
      <c r="O66" s="170"/>
      <c r="P66" s="170"/>
      <c r="Q66" s="173"/>
      <c r="R66" s="173"/>
      <c r="S66" s="173"/>
      <c r="T66" s="170"/>
      <c r="U66" s="170"/>
    </row>
    <row r="67" spans="1:21" x14ac:dyDescent="0.3">
      <c r="A67" s="170"/>
      <c r="B67" s="170"/>
      <c r="C67" s="173"/>
      <c r="D67" s="173"/>
      <c r="E67" s="173"/>
      <c r="F67" s="170"/>
      <c r="G67" s="170"/>
      <c r="H67" s="170"/>
      <c r="I67" s="170"/>
      <c r="J67" s="173"/>
      <c r="K67" s="173"/>
      <c r="L67" s="173"/>
      <c r="M67" s="170"/>
      <c r="N67" s="170"/>
      <c r="O67" s="170"/>
      <c r="P67" s="170"/>
      <c r="Q67" s="173"/>
      <c r="R67" s="173"/>
      <c r="S67" s="173"/>
      <c r="T67" s="170"/>
      <c r="U67" s="170"/>
    </row>
    <row r="68" spans="1:21" x14ac:dyDescent="0.3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</row>
    <row r="69" spans="1:21" x14ac:dyDescent="0.3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</row>
    <row r="70" spans="1:21" x14ac:dyDescent="0.3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</row>
    <row r="71" spans="1:21" x14ac:dyDescent="0.3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</row>
    <row r="72" spans="1:21" x14ac:dyDescent="0.3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</row>
    <row r="73" spans="1:21" x14ac:dyDescent="0.3">
      <c r="A73" s="170"/>
      <c r="B73" s="228"/>
      <c r="C73" s="228"/>
      <c r="D73" s="228"/>
      <c r="E73" s="228"/>
      <c r="F73" s="228"/>
      <c r="G73" s="170"/>
      <c r="H73" s="170"/>
      <c r="I73" s="228"/>
      <c r="J73" s="228"/>
      <c r="K73" s="228"/>
      <c r="L73" s="228"/>
      <c r="M73" s="228"/>
      <c r="N73" s="170"/>
      <c r="O73" s="170"/>
      <c r="P73" s="177"/>
      <c r="Q73" s="177"/>
      <c r="R73" s="177"/>
      <c r="S73" s="177"/>
      <c r="T73" s="177"/>
      <c r="U73" s="170"/>
    </row>
    <row r="74" spans="1:21" x14ac:dyDescent="0.3">
      <c r="A74" s="170"/>
      <c r="B74" s="172"/>
      <c r="C74" s="172"/>
      <c r="D74" s="172"/>
      <c r="E74" s="170"/>
      <c r="F74" s="170"/>
      <c r="G74" s="170"/>
      <c r="H74" s="170"/>
      <c r="I74" s="172"/>
      <c r="J74" s="172"/>
      <c r="K74" s="172"/>
      <c r="L74" s="170"/>
      <c r="M74" s="170"/>
      <c r="N74" s="170"/>
      <c r="O74" s="170"/>
      <c r="P74" s="172"/>
      <c r="Q74" s="172"/>
      <c r="R74" s="172"/>
      <c r="S74" s="170"/>
      <c r="T74" s="170"/>
      <c r="U74" s="170"/>
    </row>
    <row r="75" spans="1:21" x14ac:dyDescent="0.3">
      <c r="A75" s="170"/>
      <c r="B75" s="173"/>
      <c r="C75" s="170"/>
      <c r="D75" s="178"/>
      <c r="E75" s="170"/>
      <c r="F75" s="170"/>
      <c r="G75" s="170"/>
      <c r="H75" s="170"/>
      <c r="I75" s="173"/>
      <c r="J75" s="170"/>
      <c r="K75" s="178"/>
      <c r="L75" s="170"/>
      <c r="M75" s="170"/>
      <c r="N75" s="170"/>
      <c r="O75" s="170"/>
      <c r="P75" s="173"/>
      <c r="Q75" s="170"/>
      <c r="R75" s="178"/>
      <c r="S75" s="170"/>
      <c r="T75" s="170"/>
      <c r="U75" s="170"/>
    </row>
    <row r="76" spans="1:21" x14ac:dyDescent="0.3">
      <c r="A76" s="170"/>
      <c r="B76" s="173"/>
      <c r="C76" s="170"/>
      <c r="D76" s="178"/>
      <c r="E76" s="170"/>
      <c r="F76" s="170"/>
      <c r="G76" s="170"/>
      <c r="H76" s="170"/>
      <c r="I76" s="173"/>
      <c r="J76" s="170"/>
      <c r="K76" s="178"/>
      <c r="L76" s="170"/>
      <c r="M76" s="170"/>
      <c r="N76" s="170"/>
      <c r="O76" s="170"/>
      <c r="P76" s="173"/>
      <c r="Q76" s="170"/>
      <c r="R76" s="178"/>
      <c r="S76" s="170"/>
      <c r="T76" s="170"/>
      <c r="U76" s="170"/>
    </row>
    <row r="77" spans="1:21" x14ac:dyDescent="0.3">
      <c r="A77" s="170"/>
      <c r="B77" s="173"/>
      <c r="C77" s="170"/>
      <c r="D77" s="178"/>
      <c r="E77" s="170"/>
      <c r="F77" s="170"/>
      <c r="G77" s="170"/>
      <c r="H77" s="170"/>
      <c r="I77" s="173"/>
      <c r="J77" s="170"/>
      <c r="K77" s="178"/>
      <c r="L77" s="170"/>
      <c r="M77" s="170"/>
      <c r="N77" s="170"/>
      <c r="O77" s="170"/>
      <c r="P77" s="173"/>
      <c r="Q77" s="170"/>
      <c r="R77" s="178"/>
      <c r="S77" s="170"/>
      <c r="T77" s="170"/>
      <c r="U77" s="170"/>
    </row>
    <row r="78" spans="1:21" x14ac:dyDescent="0.3">
      <c r="A78" s="170"/>
      <c r="B78" s="173"/>
      <c r="C78" s="170"/>
      <c r="D78" s="178"/>
      <c r="E78" s="170"/>
      <c r="F78" s="170"/>
      <c r="G78" s="170"/>
      <c r="H78" s="170"/>
      <c r="I78" s="173"/>
      <c r="J78" s="170"/>
      <c r="K78" s="178"/>
      <c r="L78" s="170"/>
      <c r="M78" s="170"/>
      <c r="N78" s="170"/>
      <c r="O78" s="170"/>
      <c r="P78" s="173"/>
      <c r="Q78" s="170"/>
      <c r="R78" s="178"/>
      <c r="S78" s="170"/>
      <c r="T78" s="170"/>
      <c r="U78" s="170"/>
    </row>
    <row r="79" spans="1:21" x14ac:dyDescent="0.3">
      <c r="A79" s="170"/>
      <c r="B79" s="173"/>
      <c r="C79" s="170"/>
      <c r="D79" s="178"/>
      <c r="E79" s="170"/>
      <c r="F79" s="170"/>
      <c r="G79" s="170"/>
      <c r="H79" s="170"/>
      <c r="I79" s="173"/>
      <c r="J79" s="170"/>
      <c r="K79" s="178"/>
      <c r="L79" s="170"/>
      <c r="M79" s="170"/>
      <c r="N79" s="170"/>
      <c r="O79" s="170"/>
      <c r="P79" s="173"/>
      <c r="Q79" s="170"/>
      <c r="R79" s="178"/>
      <c r="S79" s="170"/>
      <c r="T79" s="170"/>
      <c r="U79" s="170"/>
    </row>
    <row r="80" spans="1:21" x14ac:dyDescent="0.3">
      <c r="A80" s="170"/>
      <c r="B80" s="173"/>
      <c r="C80" s="170"/>
      <c r="D80" s="178"/>
      <c r="E80" s="170"/>
      <c r="F80" s="170"/>
      <c r="G80" s="170"/>
      <c r="H80" s="170"/>
      <c r="I80" s="173"/>
      <c r="J80" s="170"/>
      <c r="K80" s="178"/>
      <c r="L80" s="170"/>
      <c r="M80" s="170"/>
      <c r="N80" s="170"/>
      <c r="O80" s="170"/>
      <c r="P80" s="173"/>
      <c r="Q80" s="170"/>
      <c r="R80" s="178"/>
      <c r="S80" s="170"/>
      <c r="T80" s="170"/>
      <c r="U80" s="170"/>
    </row>
    <row r="81" spans="1:21" x14ac:dyDescent="0.3">
      <c r="A81" s="170"/>
      <c r="B81" s="173"/>
      <c r="C81" s="170"/>
      <c r="D81" s="178"/>
      <c r="E81" s="170"/>
      <c r="F81" s="170"/>
      <c r="G81" s="170"/>
      <c r="H81" s="170"/>
      <c r="I81" s="173"/>
      <c r="J81" s="170"/>
      <c r="K81" s="178"/>
      <c r="L81" s="170"/>
      <c r="M81" s="170"/>
      <c r="N81" s="170"/>
      <c r="O81" s="170"/>
      <c r="P81" s="173"/>
      <c r="Q81" s="170"/>
      <c r="R81" s="178"/>
      <c r="S81" s="170"/>
      <c r="T81" s="170"/>
      <c r="U81" s="170"/>
    </row>
    <row r="82" spans="1:21" x14ac:dyDescent="0.3">
      <c r="A82" s="170"/>
      <c r="B82" s="173"/>
      <c r="C82" s="170"/>
      <c r="D82" s="178"/>
      <c r="E82" s="170"/>
      <c r="F82" s="170"/>
      <c r="G82" s="170"/>
      <c r="H82" s="170"/>
      <c r="I82" s="173"/>
      <c r="J82" s="170"/>
      <c r="K82" s="178"/>
      <c r="L82" s="170"/>
      <c r="M82" s="170"/>
      <c r="N82" s="170"/>
      <c r="O82" s="170"/>
      <c r="P82" s="173"/>
      <c r="Q82" s="170"/>
      <c r="R82" s="178"/>
      <c r="S82" s="170"/>
      <c r="T82" s="170"/>
      <c r="U82" s="170"/>
    </row>
    <row r="83" spans="1:21" x14ac:dyDescent="0.3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</row>
    <row r="84" spans="1:21" x14ac:dyDescent="0.3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</row>
    <row r="85" spans="1:21" x14ac:dyDescent="0.3">
      <c r="A85" s="170"/>
      <c r="B85" s="170"/>
      <c r="C85" s="170"/>
      <c r="D85" s="179"/>
      <c r="E85" s="179"/>
      <c r="F85" s="180"/>
      <c r="G85" s="170"/>
      <c r="H85" s="170"/>
      <c r="I85" s="170"/>
      <c r="J85" s="170"/>
      <c r="K85" s="179"/>
      <c r="L85" s="179"/>
      <c r="M85" s="180"/>
      <c r="N85" s="170"/>
      <c r="O85" s="170"/>
      <c r="P85" s="170"/>
      <c r="Q85" s="170"/>
      <c r="R85" s="179"/>
      <c r="S85" s="179"/>
      <c r="T85" s="180"/>
      <c r="U85" s="170"/>
    </row>
    <row r="86" spans="1:21" x14ac:dyDescent="0.3">
      <c r="A86" s="170"/>
      <c r="B86" s="170"/>
      <c r="C86" s="170"/>
      <c r="D86" s="181"/>
      <c r="E86" s="181"/>
      <c r="F86" s="170"/>
      <c r="G86" s="170"/>
      <c r="H86" s="170"/>
      <c r="I86" s="170"/>
      <c r="J86" s="170"/>
      <c r="K86" s="181"/>
      <c r="L86" s="181"/>
      <c r="M86" s="170"/>
      <c r="N86" s="170"/>
      <c r="O86" s="170"/>
      <c r="P86" s="170"/>
      <c r="Q86" s="170"/>
      <c r="R86" s="181"/>
      <c r="S86" s="181"/>
      <c r="T86" s="170"/>
      <c r="U86" s="170"/>
    </row>
    <row r="87" spans="1:21" x14ac:dyDescent="0.3">
      <c r="A87" s="170"/>
      <c r="B87" s="170"/>
      <c r="C87" s="173"/>
      <c r="D87" s="173"/>
      <c r="E87" s="173"/>
      <c r="F87" s="170"/>
      <c r="G87" s="170"/>
      <c r="H87" s="170"/>
      <c r="I87" s="170"/>
      <c r="J87" s="173"/>
      <c r="K87" s="173"/>
      <c r="L87" s="173"/>
      <c r="M87" s="170"/>
      <c r="N87" s="170"/>
      <c r="O87" s="170"/>
      <c r="P87" s="170"/>
      <c r="Q87" s="173"/>
      <c r="R87" s="173"/>
      <c r="S87" s="173"/>
      <c r="T87" s="170"/>
      <c r="U87" s="170"/>
    </row>
    <row r="88" spans="1:21" x14ac:dyDescent="0.3">
      <c r="A88" s="170"/>
      <c r="B88" s="170"/>
      <c r="C88" s="173"/>
      <c r="D88" s="173"/>
      <c r="E88" s="173"/>
      <c r="F88" s="170"/>
      <c r="G88" s="170"/>
      <c r="H88" s="170"/>
      <c r="I88" s="170"/>
      <c r="J88" s="173"/>
      <c r="K88" s="173"/>
      <c r="L88" s="173"/>
      <c r="M88" s="170"/>
      <c r="N88" s="170"/>
      <c r="O88" s="170"/>
      <c r="P88" s="170"/>
      <c r="Q88" s="173"/>
      <c r="R88" s="173"/>
      <c r="S88" s="173"/>
      <c r="T88" s="170"/>
      <c r="U88" s="170"/>
    </row>
    <row r="89" spans="1:21" x14ac:dyDescent="0.3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</row>
    <row r="93" spans="1:21" x14ac:dyDescent="0.3">
      <c r="A93" s="33"/>
      <c r="B93" s="209"/>
      <c r="C93" s="209"/>
      <c r="D93" s="209"/>
      <c r="E93" s="209"/>
      <c r="F93" s="209"/>
      <c r="G93" s="209"/>
      <c r="H93" s="209"/>
      <c r="I93" s="209"/>
      <c r="J93" s="209"/>
      <c r="K93" s="209"/>
    </row>
    <row r="95" spans="1:21" x14ac:dyDescent="0.3">
      <c r="O95" s="35"/>
      <c r="P95" s="35"/>
      <c r="T95" s="35"/>
      <c r="U95" s="35"/>
    </row>
  </sheetData>
  <mergeCells count="37">
    <mergeCell ref="B12:P12"/>
    <mergeCell ref="B13:D13"/>
    <mergeCell ref="E13:E14"/>
    <mergeCell ref="F13:F14"/>
    <mergeCell ref="G13:I13"/>
    <mergeCell ref="J13:J14"/>
    <mergeCell ref="K13:K14"/>
    <mergeCell ref="L13:N13"/>
    <mergeCell ref="O13:O14"/>
    <mergeCell ref="P13:P14"/>
    <mergeCell ref="B21:P21"/>
    <mergeCell ref="B22:D22"/>
    <mergeCell ref="E22:E23"/>
    <mergeCell ref="F22:F23"/>
    <mergeCell ref="G22:I22"/>
    <mergeCell ref="J22:J23"/>
    <mergeCell ref="K22:K23"/>
    <mergeCell ref="L22:N22"/>
    <mergeCell ref="O22:O23"/>
    <mergeCell ref="P22:P23"/>
    <mergeCell ref="B30:P30"/>
    <mergeCell ref="B31:D31"/>
    <mergeCell ref="E31:E32"/>
    <mergeCell ref="F31:F32"/>
    <mergeCell ref="G31:I31"/>
    <mergeCell ref="J31:J32"/>
    <mergeCell ref="K31:K32"/>
    <mergeCell ref="L31:N31"/>
    <mergeCell ref="O31:O32"/>
    <mergeCell ref="P31:P32"/>
    <mergeCell ref="B93:K93"/>
    <mergeCell ref="B40:F40"/>
    <mergeCell ref="G40:K40"/>
    <mergeCell ref="B52:F52"/>
    <mergeCell ref="I52:M52"/>
    <mergeCell ref="B73:F73"/>
    <mergeCell ref="I73:M7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B3" sqref="B3"/>
    </sheetView>
  </sheetViews>
  <sheetFormatPr defaultRowHeight="14.4" x14ac:dyDescent="0.3"/>
  <cols>
    <col min="2" max="2" width="18.88671875" bestFit="1" customWidth="1"/>
    <col min="3" max="4" width="10.44140625" bestFit="1" customWidth="1"/>
    <col min="7" max="8" width="10.44140625" bestFit="1" customWidth="1"/>
    <col min="9" max="9" width="10.109375" customWidth="1"/>
    <col min="16" max="16" width="18.88671875" bestFit="1" customWidth="1"/>
  </cols>
  <sheetData>
    <row r="1" spans="1:20" x14ac:dyDescent="0.3">
      <c r="A1" s="1" t="s">
        <v>393</v>
      </c>
      <c r="B1" s="26"/>
      <c r="C1" s="26"/>
      <c r="D1" s="26"/>
      <c r="E1" s="6"/>
      <c r="F1" s="6"/>
      <c r="G1" s="26"/>
      <c r="H1" s="26"/>
      <c r="I1" s="26"/>
      <c r="J1" s="6"/>
      <c r="K1" s="6"/>
      <c r="L1" s="26"/>
      <c r="M1" s="26"/>
      <c r="N1" s="26"/>
      <c r="O1" s="6"/>
      <c r="P1" s="6"/>
    </row>
    <row r="2" spans="1:20" ht="16.2" x14ac:dyDescent="0.3">
      <c r="A2" s="34"/>
      <c r="B2" s="209" t="s">
        <v>270</v>
      </c>
      <c r="C2" s="209"/>
      <c r="D2" s="209"/>
      <c r="E2" s="209"/>
      <c r="F2" s="209"/>
      <c r="G2" s="209" t="s">
        <v>271</v>
      </c>
      <c r="H2" s="209"/>
      <c r="I2" s="209"/>
      <c r="J2" s="209"/>
      <c r="K2" s="209"/>
      <c r="L2" s="26"/>
      <c r="M2" s="26"/>
      <c r="N2" s="26"/>
      <c r="O2" s="6"/>
      <c r="P2" s="6"/>
    </row>
    <row r="3" spans="1:20" x14ac:dyDescent="0.3">
      <c r="A3" s="33"/>
      <c r="B3" s="16" t="s">
        <v>7</v>
      </c>
      <c r="C3" t="s">
        <v>8</v>
      </c>
      <c r="D3" t="s">
        <v>9</v>
      </c>
      <c r="E3" s="35" t="s">
        <v>4</v>
      </c>
      <c r="F3" s="35" t="s">
        <v>5</v>
      </c>
      <c r="G3" t="s">
        <v>7</v>
      </c>
      <c r="H3" t="s">
        <v>8</v>
      </c>
      <c r="I3" t="s">
        <v>9</v>
      </c>
      <c r="J3" s="35" t="s">
        <v>4</v>
      </c>
      <c r="K3" s="35" t="s">
        <v>5</v>
      </c>
      <c r="L3" s="26"/>
      <c r="M3" s="26"/>
      <c r="N3" s="26"/>
      <c r="O3" s="6"/>
      <c r="P3" s="6"/>
    </row>
    <row r="4" spans="1:20" x14ac:dyDescent="0.3">
      <c r="A4" s="16" t="s">
        <v>179</v>
      </c>
      <c r="B4" s="9">
        <v>19.48</v>
      </c>
      <c r="C4" s="9">
        <v>27.28</v>
      </c>
      <c r="D4" s="9">
        <v>15.11</v>
      </c>
      <c r="E4" s="10">
        <f>AVERAGE(B4:D4)</f>
        <v>20.623333333333335</v>
      </c>
      <c r="F4" s="10">
        <f>(ABS(B4-E4)+ABS(C4-E4)+ABS(D4-E4))/3</f>
        <v>4.4377777777777787</v>
      </c>
      <c r="G4" s="9">
        <v>18.73</v>
      </c>
      <c r="H4" s="9">
        <v>26.26</v>
      </c>
      <c r="I4" s="9">
        <v>14.58</v>
      </c>
      <c r="J4" s="10">
        <f>AVERAGE(G4:I4)</f>
        <v>19.856666666666666</v>
      </c>
      <c r="K4" s="10">
        <f>(ABS(G4-J4)+ABS(H4-J4)+ABS(I4-J4))/3</f>
        <v>4.2688888888888892</v>
      </c>
      <c r="L4" s="26"/>
      <c r="M4" s="26"/>
      <c r="N4" s="26" t="s">
        <v>82</v>
      </c>
      <c r="O4" s="6"/>
      <c r="P4" s="6"/>
    </row>
    <row r="5" spans="1:20" x14ac:dyDescent="0.3">
      <c r="A5" s="16" t="s">
        <v>180</v>
      </c>
      <c r="B5" s="9">
        <v>1.04</v>
      </c>
      <c r="C5" s="9">
        <v>2.1800000000000002</v>
      </c>
      <c r="D5" s="9">
        <v>1.87</v>
      </c>
      <c r="E5" s="10">
        <f>AVERAGE(B5:D5)</f>
        <v>1.6966666666666665</v>
      </c>
      <c r="F5" s="10">
        <f>(ABS(B5-E5)+ABS(C5-E5)+ABS(D5-E5))/3</f>
        <v>0.43777777777777788</v>
      </c>
      <c r="G5" s="9">
        <v>0.69</v>
      </c>
      <c r="H5" s="9">
        <v>1.47</v>
      </c>
      <c r="I5" s="9">
        <v>1.24</v>
      </c>
      <c r="J5" s="10">
        <f>AVERAGE(G5:I5)</f>
        <v>1.1333333333333335</v>
      </c>
      <c r="K5" s="10">
        <f>(ABS(G5-J5)+ABS(H5-J5)+ABS(I5-J5))/3</f>
        <v>0.29555555555555552</v>
      </c>
    </row>
    <row r="6" spans="1:20" x14ac:dyDescent="0.3">
      <c r="A6" s="16"/>
      <c r="B6" s="9"/>
      <c r="C6" s="9"/>
      <c r="D6" s="9"/>
      <c r="E6" s="6"/>
      <c r="F6" s="6"/>
      <c r="G6" s="9"/>
      <c r="H6" s="9"/>
      <c r="I6" s="9"/>
      <c r="J6" s="6"/>
      <c r="K6" s="6"/>
    </row>
    <row r="7" spans="1:20" ht="16.2" x14ac:dyDescent="0.3">
      <c r="A7" s="160" t="s">
        <v>323</v>
      </c>
    </row>
    <row r="9" spans="1:20" x14ac:dyDescent="0.3">
      <c r="A9" t="s">
        <v>165</v>
      </c>
      <c r="B9" s="164"/>
    </row>
    <row r="10" spans="1:20" x14ac:dyDescent="0.3">
      <c r="A10" t="s">
        <v>167</v>
      </c>
      <c r="B10" s="164"/>
    </row>
    <row r="11" spans="1:20" x14ac:dyDescent="0.3">
      <c r="B11" s="164"/>
    </row>
    <row r="12" spans="1:20" ht="16.2" x14ac:dyDescent="0.3">
      <c r="A12" t="s">
        <v>166</v>
      </c>
      <c r="B12" s="164"/>
    </row>
    <row r="14" spans="1:20" x14ac:dyDescent="0.3">
      <c r="B14" s="209" t="s">
        <v>7</v>
      </c>
      <c r="C14" s="209"/>
      <c r="D14" s="209"/>
      <c r="E14" s="209"/>
      <c r="F14" s="209"/>
      <c r="I14" s="209" t="s">
        <v>8</v>
      </c>
      <c r="J14" s="209"/>
      <c r="K14" s="209"/>
      <c r="L14" s="209"/>
      <c r="M14" s="209"/>
      <c r="P14" s="165" t="s">
        <v>9</v>
      </c>
      <c r="Q14" s="165"/>
      <c r="R14" s="165"/>
      <c r="S14" s="165"/>
      <c r="T14" s="165"/>
    </row>
    <row r="15" spans="1:20" x14ac:dyDescent="0.3">
      <c r="B15" s="16" t="s">
        <v>168</v>
      </c>
      <c r="C15" s="16" t="s">
        <v>169</v>
      </c>
      <c r="D15" s="16" t="s">
        <v>170</v>
      </c>
      <c r="I15" s="16" t="s">
        <v>168</v>
      </c>
      <c r="J15" s="16" t="s">
        <v>169</v>
      </c>
      <c r="K15" s="16" t="s">
        <v>170</v>
      </c>
      <c r="P15" s="16" t="s">
        <v>168</v>
      </c>
      <c r="Q15" s="16" t="s">
        <v>169</v>
      </c>
      <c r="R15" s="16" t="s">
        <v>170</v>
      </c>
    </row>
    <row r="16" spans="1:20" x14ac:dyDescent="0.3">
      <c r="B16" s="9">
        <v>135.114</v>
      </c>
      <c r="C16">
        <v>1793</v>
      </c>
      <c r="I16" s="9">
        <v>135.114</v>
      </c>
      <c r="J16">
        <v>2010</v>
      </c>
      <c r="P16" s="9">
        <v>135.114</v>
      </c>
      <c r="Q16">
        <v>1155</v>
      </c>
    </row>
    <row r="17" spans="2:20" x14ac:dyDescent="0.3">
      <c r="B17" s="9">
        <v>139.11879999999999</v>
      </c>
      <c r="C17">
        <v>100050</v>
      </c>
      <c r="D17" s="29">
        <f>(C17*0.343550377443745)/(C16+(C17*0.343550377443745))</f>
        <v>0.95042197351934032</v>
      </c>
      <c r="I17" s="9">
        <v>139.11879999999999</v>
      </c>
      <c r="J17">
        <v>130070</v>
      </c>
      <c r="K17" s="29">
        <f>(J17*0.343550377443745)/(J16+(J17*0.343550377443745))</f>
        <v>0.95695525695009798</v>
      </c>
      <c r="P17" s="9">
        <v>139.11879999999999</v>
      </c>
      <c r="Q17">
        <v>70015</v>
      </c>
      <c r="R17" s="29">
        <f>(Q17*0.343550377443745)/(Q16+(Q17*0.343550377443745))</f>
        <v>0.9541824476802544</v>
      </c>
    </row>
    <row r="18" spans="2:20" x14ac:dyDescent="0.3">
      <c r="B18" s="9">
        <v>166.1206</v>
      </c>
      <c r="C18">
        <v>397</v>
      </c>
      <c r="D18" s="29"/>
      <c r="I18" s="9">
        <v>166.1206</v>
      </c>
      <c r="J18">
        <v>525</v>
      </c>
      <c r="K18" s="29"/>
      <c r="P18" s="9">
        <v>166.1206</v>
      </c>
      <c r="Q18">
        <v>287</v>
      </c>
      <c r="R18" s="29"/>
    </row>
    <row r="19" spans="2:20" x14ac:dyDescent="0.3">
      <c r="B19" s="9">
        <v>170.11940000000001</v>
      </c>
      <c r="C19">
        <v>14721</v>
      </c>
      <c r="D19" s="29">
        <f>(C19*1.77723970331311)/(C18+(C19*1.77723970331311))</f>
        <v>0.98505256771297067</v>
      </c>
      <c r="I19" s="9">
        <v>170.11940000000001</v>
      </c>
      <c r="J19">
        <v>20709</v>
      </c>
      <c r="K19" s="29">
        <f>(J19*1.77723970331311)/(J18+(J19*1.77723970331311))</f>
        <v>0.98593619043929825</v>
      </c>
      <c r="P19" s="9">
        <v>170.11940000000001</v>
      </c>
      <c r="Q19">
        <v>10204</v>
      </c>
      <c r="R19" s="29">
        <f>(Q19*1.77723970331311)/(Q18+(Q19*1.77723970331311))</f>
        <v>0.98442076225736252</v>
      </c>
    </row>
    <row r="20" spans="2:20" x14ac:dyDescent="0.3">
      <c r="B20" s="9">
        <v>191.17689999999999</v>
      </c>
      <c r="C20">
        <v>3501</v>
      </c>
      <c r="D20" s="29"/>
      <c r="I20" s="9">
        <v>191.17689999999999</v>
      </c>
      <c r="J20">
        <v>4901</v>
      </c>
      <c r="K20" s="29"/>
      <c r="P20" s="9">
        <v>191.17689999999999</v>
      </c>
      <c r="Q20">
        <v>2459</v>
      </c>
      <c r="R20" s="29"/>
    </row>
    <row r="21" spans="2:20" x14ac:dyDescent="0.3">
      <c r="B21" s="9">
        <v>195.17939999999999</v>
      </c>
      <c r="C21">
        <v>42098</v>
      </c>
      <c r="D21" s="29">
        <f>(C21*2.29667102757349)/(C20+(C21*2.29667102757349))</f>
        <v>0.96505508731763556</v>
      </c>
      <c r="I21" s="9">
        <v>195.17939999999999</v>
      </c>
      <c r="J21">
        <v>58837</v>
      </c>
      <c r="K21" s="29">
        <f>(J21*2.29667102757349)/(J20+(J21*2.29667102757349))</f>
        <v>0.96500041536549364</v>
      </c>
      <c r="P21" s="9">
        <v>195.17939999999999</v>
      </c>
      <c r="Q21">
        <v>32468</v>
      </c>
      <c r="R21" s="29">
        <f>(Q21*2.29667102757349)/(Q20+(Q21*2.29667102757349))</f>
        <v>0.96807625966905442</v>
      </c>
    </row>
    <row r="22" spans="2:20" x14ac:dyDescent="0.3">
      <c r="B22" s="9">
        <v>205.1909</v>
      </c>
      <c r="C22">
        <v>420</v>
      </c>
      <c r="D22" s="29"/>
      <c r="I22" s="9">
        <v>205.1909</v>
      </c>
      <c r="J22">
        <v>508</v>
      </c>
      <c r="K22" s="29"/>
      <c r="P22" s="9">
        <v>205.1909</v>
      </c>
      <c r="Q22">
        <v>204</v>
      </c>
      <c r="R22" s="29"/>
    </row>
    <row r="23" spans="2:20" x14ac:dyDescent="0.3">
      <c r="B23" s="9">
        <v>209.1883</v>
      </c>
      <c r="C23">
        <v>4536</v>
      </c>
      <c r="D23" s="29">
        <f>(C23*0.986523524207095)/(C22+(C23*0.986523524207095))</f>
        <v>0.91419589500044485</v>
      </c>
      <c r="I23" s="9">
        <v>209.1883</v>
      </c>
      <c r="J23">
        <v>6250</v>
      </c>
      <c r="K23" s="29">
        <f>(J23*0.986523524207095)/(J22+(J23*0.986523524207095))</f>
        <v>0.92388112779422127</v>
      </c>
      <c r="P23" s="9">
        <v>209.1883</v>
      </c>
      <c r="Q23">
        <v>2975</v>
      </c>
      <c r="R23" s="29">
        <f>(Q23*0.986523524207095)/(Q22+(Q23*0.986523524207095))</f>
        <v>0.93500923458040419</v>
      </c>
    </row>
    <row r="24" spans="2:20" x14ac:dyDescent="0.3">
      <c r="D24" s="29"/>
      <c r="K24" s="29"/>
      <c r="R24" s="29"/>
    </row>
    <row r="25" spans="2:20" x14ac:dyDescent="0.3">
      <c r="C25" t="s">
        <v>171</v>
      </c>
      <c r="D25" t="s">
        <v>172</v>
      </c>
      <c r="E25" t="s">
        <v>173</v>
      </c>
      <c r="F25" t="s">
        <v>174</v>
      </c>
      <c r="J25" t="s">
        <v>171</v>
      </c>
      <c r="K25" t="s">
        <v>172</v>
      </c>
      <c r="L25" t="s">
        <v>173</v>
      </c>
      <c r="M25" t="s">
        <v>174</v>
      </c>
      <c r="Q25" t="s">
        <v>171</v>
      </c>
      <c r="R25" t="s">
        <v>172</v>
      </c>
      <c r="S25" t="s">
        <v>173</v>
      </c>
      <c r="T25" t="s">
        <v>174</v>
      </c>
    </row>
    <row r="26" spans="2:20" x14ac:dyDescent="0.3">
      <c r="B26" t="s">
        <v>175</v>
      </c>
      <c r="C26">
        <v>1059466</v>
      </c>
      <c r="D26" s="30">
        <f>(((C17*0.343550377443745)/(C16+(C17*0.343550377443745)))*733.092587+((C19*1.77723970331311)/(C18+(C19*1.77723970331311)))*595.4498616+((C21*2.29667102757349)/(C20+(C21*2.29667102757349)))*4175.842325+((C23*0.986523524207095)/(C22+(C23*0.986523524207095)))*485.2112546)/5989.596028</f>
        <v>0.96113205435751292</v>
      </c>
      <c r="E26" s="30">
        <f>1-D26</f>
        <v>3.8867945642487078E-2</v>
      </c>
      <c r="F26" s="31">
        <f>SQRT((SUM(733.092587*(D17-D26)^2,595.4498616*(D19-D26)^2,4175.842325*(D21-D26)^2,485.2112546*(D23-D26)^2))/(5989.59602785596))</f>
        <v>1.6128112801388338E-2</v>
      </c>
      <c r="I26" t="s">
        <v>175</v>
      </c>
      <c r="J26">
        <v>1483244</v>
      </c>
      <c r="K26" s="30">
        <f>(((J17*0.343550377443745)/(J16+(J17*0.343550377443745)))*733.092587+((J19*1.77723970331311)/(J18+(J19*1.77723970331311)))*595.4498616+((J21*2.29667102757349)/(J20+(J21*2.29667102757349)))*4175.842325+((J23*0.986523524207095)/(J22+(J23*0.986523524207095)))*485.2112546)/5989.596028</f>
        <v>0.9627660104940241</v>
      </c>
      <c r="L26" s="30">
        <f>1-K26</f>
        <v>3.7233989505975895E-2</v>
      </c>
      <c r="M26" s="31">
        <f>SQRT((SUM(733.092587*(K17-K26)^2,595.4498616*(K19-K26)^2,4175.842325*(K21-K26)^2,485.2112546*(K23-K26)^2))/(5989.59602785596))</f>
        <v>1.3545216315100693E-2</v>
      </c>
      <c r="P26" t="s">
        <v>175</v>
      </c>
      <c r="Q26">
        <v>821626</v>
      </c>
      <c r="R26" s="30">
        <f>(((Q17*0.343550377443745)/(Q16+(Q17*0.343550377443745)))*733.092587+((Q19*1.77723970331311)/(Q18+(Q19*1.77723970331311)))*595.4498616+((Q21*2.29667102757349)/(Q20+(Q21*2.29667102757349)))*4175.842325+((Q23*0.986523524207095)/(Q22+(Q23*0.986523524207095)))*485.2112546)/5989.596028</f>
        <v>0.96532188170625877</v>
      </c>
      <c r="S26" s="30">
        <f>1-R26</f>
        <v>3.4678118293741234E-2</v>
      </c>
      <c r="T26" s="31">
        <f>SQRT((SUM(733.092587*(R17-R26)^2,595.4498616*(R19-R26)^2,4175.842325*(R21-R26)^2,485.2112546*(R23-R26)^2))/(5989.59602785596))</f>
        <v>1.1453184336841234E-2</v>
      </c>
    </row>
    <row r="27" spans="2:20" x14ac:dyDescent="0.3">
      <c r="B27" t="s">
        <v>176</v>
      </c>
      <c r="C27">
        <f>C26</f>
        <v>1059466</v>
      </c>
      <c r="D27" s="27">
        <f>C27*D26</f>
        <v>1018286.7331019368</v>
      </c>
      <c r="E27" s="27">
        <f>C27*E26</f>
        <v>41179.266898063215</v>
      </c>
      <c r="I27" t="s">
        <v>176</v>
      </c>
      <c r="J27">
        <f>J26</f>
        <v>1483244</v>
      </c>
      <c r="K27">
        <f>J27*K26</f>
        <v>1428016.9084691983</v>
      </c>
      <c r="L27" s="27">
        <f>J27*L26</f>
        <v>55227.091530801714</v>
      </c>
      <c r="P27" t="s">
        <v>176</v>
      </c>
      <c r="Q27">
        <f>Q26</f>
        <v>821626</v>
      </c>
      <c r="R27">
        <f>Q27*R26</f>
        <v>793133.55637878657</v>
      </c>
      <c r="S27" s="27">
        <f>Q27*S26</f>
        <v>28492.443621213435</v>
      </c>
    </row>
    <row r="28" spans="2:20" x14ac:dyDescent="0.3">
      <c r="B28" t="s">
        <v>321</v>
      </c>
      <c r="C28" s="9">
        <f>C27/399158</f>
        <v>2.6542522008828584</v>
      </c>
      <c r="D28" s="9">
        <f>D27/399158</f>
        <v>2.5510868706174916</v>
      </c>
      <c r="E28" s="9">
        <f>E27/399158</f>
        <v>0.10316533026536663</v>
      </c>
      <c r="I28" t="s">
        <v>321</v>
      </c>
      <c r="J28" s="9">
        <f>J27/399158</f>
        <v>3.7159320369377538</v>
      </c>
      <c r="K28" s="9">
        <f>K27/399158</f>
        <v>3.5775730624694941</v>
      </c>
      <c r="L28" s="9">
        <f>L27/399158</f>
        <v>0.13835897446825998</v>
      </c>
      <c r="P28" t="s">
        <v>321</v>
      </c>
      <c r="Q28" s="9">
        <f>Q27/399158</f>
        <v>2.0583979276376771</v>
      </c>
      <c r="R28" s="9">
        <f>R27/399158</f>
        <v>1.9870165608074661</v>
      </c>
      <c r="S28" s="9">
        <f>S27/399158</f>
        <v>7.1381366830211179E-2</v>
      </c>
    </row>
    <row r="29" spans="2:20" ht="15" thickBot="1" x14ac:dyDescent="0.35">
      <c r="B29" s="32" t="s">
        <v>322</v>
      </c>
      <c r="C29" s="37">
        <f>C28/136.238*1000</f>
        <v>19.482465985135267</v>
      </c>
      <c r="D29" s="37">
        <f>D28/136.238*1000</f>
        <v>18.725222556243423</v>
      </c>
      <c r="E29" s="37">
        <f>E28/136.238*1000</f>
        <v>0.75724342889184104</v>
      </c>
      <c r="F29" s="32"/>
      <c r="I29" s="32" t="s">
        <v>322</v>
      </c>
      <c r="J29" s="37">
        <f>J28/136.238*1000</f>
        <v>27.275297912019802</v>
      </c>
      <c r="K29" s="37">
        <f>K28/136.238*1000</f>
        <v>26.259729755791295</v>
      </c>
      <c r="L29" s="37">
        <f>L28/136.238*1000</f>
        <v>1.0155681562285117</v>
      </c>
      <c r="M29" s="32"/>
      <c r="P29" s="32" t="s">
        <v>322</v>
      </c>
      <c r="Q29" s="37">
        <f>Q28/136.238*1000</f>
        <v>15.108838412466985</v>
      </c>
      <c r="R29" s="37">
        <f>R28/136.238*1000</f>
        <v>14.584892326718435</v>
      </c>
      <c r="S29" s="37">
        <f>S28/136.238*1000</f>
        <v>0.52394608574855162</v>
      </c>
      <c r="T29" s="32"/>
    </row>
    <row r="33" spans="1:20" ht="16.2" x14ac:dyDescent="0.3">
      <c r="A33" t="s">
        <v>177</v>
      </c>
    </row>
    <row r="35" spans="1:20" x14ac:dyDescent="0.3">
      <c r="B35" s="209" t="s">
        <v>7</v>
      </c>
      <c r="C35" s="209"/>
      <c r="D35" s="209"/>
      <c r="E35" s="209"/>
      <c r="F35" s="209"/>
      <c r="I35" s="209" t="s">
        <v>8</v>
      </c>
      <c r="J35" s="209"/>
      <c r="K35" s="209"/>
      <c r="L35" s="209"/>
      <c r="M35" s="209"/>
      <c r="P35" s="165" t="s">
        <v>9</v>
      </c>
      <c r="Q35" s="165"/>
      <c r="R35" s="165"/>
      <c r="S35" s="165"/>
      <c r="T35" s="165"/>
    </row>
    <row r="36" spans="1:20" x14ac:dyDescent="0.3">
      <c r="B36" s="16" t="s">
        <v>168</v>
      </c>
      <c r="C36" s="16" t="s">
        <v>178</v>
      </c>
      <c r="D36" s="16" t="s">
        <v>170</v>
      </c>
      <c r="I36" s="16" t="s">
        <v>168</v>
      </c>
      <c r="J36" s="16" t="s">
        <v>178</v>
      </c>
      <c r="K36" s="16" t="s">
        <v>170</v>
      </c>
      <c r="P36" s="16" t="s">
        <v>168</v>
      </c>
      <c r="Q36" s="16" t="s">
        <v>178</v>
      </c>
      <c r="R36" s="16" t="s">
        <v>170</v>
      </c>
    </row>
    <row r="37" spans="1:20" x14ac:dyDescent="0.3">
      <c r="B37" s="9">
        <v>135.114</v>
      </c>
      <c r="C37">
        <v>961</v>
      </c>
      <c r="D37" s="29"/>
      <c r="F37">
        <f>C37*1.8</f>
        <v>1729.8</v>
      </c>
      <c r="I37" s="9">
        <v>135.114</v>
      </c>
      <c r="J37">
        <v>2008</v>
      </c>
      <c r="K37" s="29"/>
      <c r="P37" s="9">
        <v>135.114</v>
      </c>
      <c r="Q37">
        <v>1722</v>
      </c>
      <c r="R37" s="29"/>
    </row>
    <row r="38" spans="1:20" x14ac:dyDescent="0.3">
      <c r="B38" s="9">
        <v>139.11879999999999</v>
      </c>
      <c r="C38">
        <v>2624</v>
      </c>
      <c r="D38" s="29">
        <f>(C38*0.343550377443745)/(C37+(C38*0.343550377443745))</f>
        <v>0.48402024952210704</v>
      </c>
      <c r="F38">
        <f t="shared" ref="F38:F44" si="0">C38*1.8</f>
        <v>4723.2</v>
      </c>
      <c r="I38" s="9">
        <v>139.11879999999999</v>
      </c>
      <c r="J38">
        <v>5562</v>
      </c>
      <c r="K38" s="29">
        <f>(J38*0.343550377443745)/(J37+(J38*0.343550377443745))</f>
        <v>0.48760180077929904</v>
      </c>
      <c r="P38" s="9">
        <v>139.11879999999999</v>
      </c>
      <c r="Q38">
        <v>4712</v>
      </c>
      <c r="R38" s="29">
        <f>(Q38*0.343550377443745)/(Q37+(Q38*0.343550377443745))</f>
        <v>0.484556044689544</v>
      </c>
    </row>
    <row r="39" spans="1:20" x14ac:dyDescent="0.3">
      <c r="B39" s="9">
        <v>166.1206</v>
      </c>
      <c r="C39">
        <v>1096</v>
      </c>
      <c r="D39" s="29"/>
      <c r="F39">
        <f t="shared" si="0"/>
        <v>1972.8</v>
      </c>
      <c r="I39" s="9">
        <v>166.1206</v>
      </c>
      <c r="J39">
        <v>2321</v>
      </c>
      <c r="K39" s="29"/>
      <c r="P39" s="9">
        <v>166.1206</v>
      </c>
      <c r="Q39">
        <v>1871</v>
      </c>
      <c r="R39" s="29"/>
    </row>
    <row r="40" spans="1:20" x14ac:dyDescent="0.3">
      <c r="B40" s="9">
        <v>170.11940000000001</v>
      </c>
      <c r="C40">
        <v>50</v>
      </c>
      <c r="D40" s="29">
        <f>(C40*1.77723970331311)/(C39+(C40*1.77723970331311))</f>
        <v>7.4997751871693052E-2</v>
      </c>
      <c r="F40">
        <f t="shared" si="0"/>
        <v>90</v>
      </c>
      <c r="I40" s="9">
        <v>170.11940000000001</v>
      </c>
      <c r="J40">
        <v>115</v>
      </c>
      <c r="K40" s="29">
        <f>(J40*1.77723970331311)/(J39+(J40*1.77723970331311))</f>
        <v>8.0931328441996478E-2</v>
      </c>
      <c r="P40" s="9">
        <v>170.11940000000001</v>
      </c>
      <c r="Q40">
        <v>95</v>
      </c>
      <c r="R40" s="29">
        <f>(Q40*1.77723970331311)/(Q39+(Q40*1.77723970331311))</f>
        <v>8.2770195820297335E-2</v>
      </c>
    </row>
    <row r="41" spans="1:20" x14ac:dyDescent="0.3">
      <c r="B41" s="9">
        <v>191.17689999999999</v>
      </c>
      <c r="C41">
        <v>987</v>
      </c>
      <c r="D41" s="29"/>
      <c r="F41">
        <f t="shared" si="0"/>
        <v>1776.6000000000001</v>
      </c>
      <c r="I41" s="9">
        <v>191.17689999999999</v>
      </c>
      <c r="J41">
        <v>2088</v>
      </c>
      <c r="K41" s="29"/>
      <c r="P41" s="9">
        <v>191.17689999999999</v>
      </c>
      <c r="Q41">
        <v>1777</v>
      </c>
      <c r="R41" s="29"/>
    </row>
    <row r="42" spans="1:20" x14ac:dyDescent="0.3">
      <c r="B42" s="9">
        <v>195.17939999999999</v>
      </c>
      <c r="C42">
        <v>1290</v>
      </c>
      <c r="D42" s="29">
        <f>(C42*2.29667102757349)/(C41+(C42*2.29667102757349))</f>
        <v>0.75010795903109595</v>
      </c>
      <c r="F42">
        <f t="shared" si="0"/>
        <v>2322</v>
      </c>
      <c r="I42" s="9">
        <v>195.17939999999999</v>
      </c>
      <c r="J42">
        <v>2956</v>
      </c>
      <c r="K42" s="29">
        <f>(J42*2.29667102757349)/(J41+(J42*2.29667102757349))</f>
        <v>0.76478432886019176</v>
      </c>
      <c r="P42" s="9">
        <v>195.17939999999999</v>
      </c>
      <c r="Q42">
        <v>2333</v>
      </c>
      <c r="R42" s="29">
        <f>(Q42*2.29667102757349)/(Q41+(Q42*2.29667102757349))</f>
        <v>0.75095070075777426</v>
      </c>
    </row>
    <row r="43" spans="1:20" x14ac:dyDescent="0.3">
      <c r="B43" s="9">
        <v>205.1909</v>
      </c>
      <c r="C43">
        <v>50</v>
      </c>
      <c r="D43" s="29"/>
      <c r="F43">
        <f t="shared" si="0"/>
        <v>90</v>
      </c>
      <c r="I43" s="9">
        <v>205.1909</v>
      </c>
      <c r="J43">
        <v>105</v>
      </c>
      <c r="K43" s="29"/>
      <c r="P43" s="9">
        <v>205.1909</v>
      </c>
      <c r="Q43">
        <v>91</v>
      </c>
      <c r="R43" s="29"/>
    </row>
    <row r="44" spans="1:20" x14ac:dyDescent="0.3">
      <c r="B44" s="9">
        <v>209.1883</v>
      </c>
      <c r="C44">
        <v>493</v>
      </c>
      <c r="D44" s="29">
        <f>(C44*0.986523524207095)/(C43+(C44*0.986523524207095))</f>
        <v>0.90677835072781376</v>
      </c>
      <c r="F44">
        <f t="shared" si="0"/>
        <v>887.4</v>
      </c>
      <c r="I44" s="9">
        <v>209.1883</v>
      </c>
      <c r="J44">
        <v>1065</v>
      </c>
      <c r="K44" s="29">
        <f>(J44*0.986523524207095)/(J43+(J44*0.986523524207095))</f>
        <v>0.9091418489123827</v>
      </c>
      <c r="P44" s="9">
        <v>209.1883</v>
      </c>
      <c r="Q44">
        <v>827</v>
      </c>
      <c r="R44" s="29">
        <f>(Q44*0.986523524207095)/(Q43+(Q44*0.986523524207095))</f>
        <v>0.89965319200550664</v>
      </c>
    </row>
    <row r="46" spans="1:20" x14ac:dyDescent="0.3">
      <c r="C46" t="s">
        <v>171</v>
      </c>
      <c r="D46" t="s">
        <v>172</v>
      </c>
      <c r="E46" t="s">
        <v>173</v>
      </c>
      <c r="F46" t="s">
        <v>174</v>
      </c>
      <c r="J46" t="s">
        <v>171</v>
      </c>
      <c r="K46" t="s">
        <v>172</v>
      </c>
      <c r="L46" t="s">
        <v>173</v>
      </c>
      <c r="M46" t="s">
        <v>174</v>
      </c>
      <c r="Q46" t="s">
        <v>171</v>
      </c>
      <c r="R46" t="s">
        <v>172</v>
      </c>
      <c r="S46" t="s">
        <v>173</v>
      </c>
      <c r="T46" t="s">
        <v>174</v>
      </c>
    </row>
    <row r="47" spans="1:20" x14ac:dyDescent="0.3">
      <c r="B47" t="s">
        <v>175</v>
      </c>
      <c r="C47">
        <v>56579</v>
      </c>
      <c r="D47" s="30">
        <f>(((C38*0.343550377443745)/(C37+(C38*0.343550377443745)))*733.092587+((C40*1.77723970331311)/(C39+(C40*1.77723970331311)))*595.4498616+((C42*2.29667102757349)/(C41+(C42*2.29667102757349)))*4175.842325+((C44*0.986523524207095)/(C43+(C44*0.986523524207095)))*485.2112546)/5989.596028</f>
        <v>0.66311662157677576</v>
      </c>
      <c r="E47" s="30">
        <f>1-D47</f>
        <v>0.33688337842322424</v>
      </c>
      <c r="F47" s="31">
        <f>SQRT((SUM(733.092587*(D38-D47)^2,595.4498616*(D40-D47)^2,4175.842325*(D42-D47)^2,485.2112546*(D44-D47)^2))/(5989.59602785596))</f>
        <v>0.2199933549012677</v>
      </c>
      <c r="G47">
        <f>C47*1.8</f>
        <v>101842.2</v>
      </c>
      <c r="I47" t="s">
        <v>175</v>
      </c>
      <c r="J47">
        <v>118811</v>
      </c>
      <c r="K47" s="30">
        <f>(((J38*0.343550377443745)/(J37+(J38*0.343550377443745)))*733.092587+((J40*1.77723970331311)/(J39+(J40*1.77723970331311)))*595.4498616+((J42*2.29667102757349)/(J41+(J42*2.29667102757349)))*4175.842325+((J44*0.986523524207095)/(J43+(J44*0.986523524207095)))*485.2112546)/5989.596028</f>
        <v>0.67456843868307281</v>
      </c>
      <c r="L47" s="30">
        <f>1-K47</f>
        <v>0.32543156131692719</v>
      </c>
      <c r="M47" s="31">
        <f>SQRT((SUM(733.092587*(K38-K47)^2,595.4498616*(K40-K47)^2,4175.842325*(K42-K47)^2,485.2112546*(K44-K47)^2))/(5989.59602785596))</f>
        <v>0.22236070280299788</v>
      </c>
      <c r="P47" t="s">
        <v>175</v>
      </c>
      <c r="Q47">
        <v>101884</v>
      </c>
      <c r="R47" s="30">
        <f>(((Q38*0.343550377443745)/(Q37+(Q38*0.343550377443745)))*733.092587+((Q40*1.77723970331311)/(Q39+(Q40*1.77723970331311)))*595.4498616+((Q42*2.29667102757349)/(Q41+(Q42*2.29667102757349)))*4175.842325+((Q44*0.986523524207095)/(Q43+(Q44*0.986523524207095)))*485.2112546)/5989.596028</f>
        <v>0.66396523264896823</v>
      </c>
      <c r="S47" s="30">
        <f>1-R47</f>
        <v>0.33603476735103177</v>
      </c>
      <c r="T47" s="31">
        <f>SQRT((SUM(733.092587*(R38-R47)^2,595.4498616*(R40-R47)^2,4175.842325*(R42-R47)^2,485.2112546*(R44-R47)^2))/(5989.59602785596))</f>
        <v>0.21747548474488554</v>
      </c>
    </row>
    <row r="48" spans="1:20" x14ac:dyDescent="0.3">
      <c r="B48" t="s">
        <v>176</v>
      </c>
      <c r="C48">
        <f>C47</f>
        <v>56579</v>
      </c>
      <c r="D48" s="27">
        <f>C48*D47</f>
        <v>37518.475332192393</v>
      </c>
      <c r="E48" s="27">
        <f>C48*E47</f>
        <v>19060.524667807604</v>
      </c>
      <c r="I48" t="s">
        <v>176</v>
      </c>
      <c r="J48">
        <f>J47</f>
        <v>118811</v>
      </c>
      <c r="K48" s="27">
        <f>J48*K47</f>
        <v>80146.150768374559</v>
      </c>
      <c r="L48" s="27">
        <f>J48*L47</f>
        <v>38664.849231625434</v>
      </c>
      <c r="P48" t="s">
        <v>176</v>
      </c>
      <c r="Q48">
        <f>Q47</f>
        <v>101884</v>
      </c>
      <c r="R48" s="27">
        <f>Q48*R47</f>
        <v>67647.433763207475</v>
      </c>
      <c r="S48" s="27">
        <f>Q48*S47</f>
        <v>34236.566236792518</v>
      </c>
    </row>
    <row r="49" spans="2:20" x14ac:dyDescent="0.3">
      <c r="B49" t="s">
        <v>321</v>
      </c>
      <c r="C49" s="9">
        <f>C48/399158</f>
        <v>0.14174587506701608</v>
      </c>
      <c r="D49" s="9">
        <f>D48/399158</f>
        <v>9.3994045796883419E-2</v>
      </c>
      <c r="E49" s="9">
        <f>E48/399158</f>
        <v>4.7751829270132641E-2</v>
      </c>
      <c r="I49" t="s">
        <v>321</v>
      </c>
      <c r="J49" s="9">
        <f>J48/399158</f>
        <v>0.29765406180008919</v>
      </c>
      <c r="K49" s="9">
        <f>K48/399158</f>
        <v>0.20078803573616102</v>
      </c>
      <c r="L49" s="9">
        <f>L48/399158</f>
        <v>9.6866026063928148E-2</v>
      </c>
      <c r="P49" t="s">
        <v>321</v>
      </c>
      <c r="Q49" s="9">
        <f>Q48/399158</f>
        <v>0.25524729555714781</v>
      </c>
      <c r="R49" s="9">
        <f>R48/399158</f>
        <v>0.16947532997762157</v>
      </c>
      <c r="S49" s="9">
        <f>S48/399158</f>
        <v>8.5771965579526196E-2</v>
      </c>
    </row>
    <row r="50" spans="2:20" ht="15" thickBot="1" x14ac:dyDescent="0.35">
      <c r="B50" s="32" t="s">
        <v>322</v>
      </c>
      <c r="C50" s="37">
        <f>C49/136.238*1000</f>
        <v>1.0404283317944778</v>
      </c>
      <c r="D50" s="37">
        <f>D49/136.238*1000</f>
        <v>0.6899253203723148</v>
      </c>
      <c r="E50" s="37">
        <f>E49/136.238*1000</f>
        <v>0.35050301142216295</v>
      </c>
      <c r="F50" s="32"/>
      <c r="I50" s="32" t="s">
        <v>322</v>
      </c>
      <c r="J50" s="37">
        <f>J49/136.238*1000</f>
        <v>2.1848093909194879</v>
      </c>
      <c r="K50" s="37">
        <f>K49/136.238*1000</f>
        <v>1.4738034596526741</v>
      </c>
      <c r="L50" s="37">
        <f>L49/136.238*1000</f>
        <v>0.71100593126681355</v>
      </c>
      <c r="M50" s="32"/>
      <c r="P50" s="32" t="s">
        <v>322</v>
      </c>
      <c r="Q50" s="37">
        <f>Q49/136.238*1000</f>
        <v>1.8735396552881562</v>
      </c>
      <c r="R50" s="37">
        <f>R49/136.238*1000</f>
        <v>1.2439651931004683</v>
      </c>
      <c r="S50" s="37">
        <f>S49/136.238*1000</f>
        <v>0.62957446218768764</v>
      </c>
      <c r="T50" s="32"/>
    </row>
  </sheetData>
  <mergeCells count="6">
    <mergeCell ref="B35:F35"/>
    <mergeCell ref="I35:M35"/>
    <mergeCell ref="B2:F2"/>
    <mergeCell ref="G2:K2"/>
    <mergeCell ref="B14:F14"/>
    <mergeCell ref="I14:M1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F5" sqref="F5"/>
    </sheetView>
  </sheetViews>
  <sheetFormatPr defaultRowHeight="14.4" x14ac:dyDescent="0.3"/>
  <sheetData>
    <row r="2" spans="1:1" x14ac:dyDescent="0.3">
      <c r="A2" s="54" t="s">
        <v>370</v>
      </c>
    </row>
    <row r="3" spans="1:1" ht="15" x14ac:dyDescent="0.35">
      <c r="A3" s="55" t="s">
        <v>255</v>
      </c>
    </row>
    <row r="4" spans="1:1" ht="15" x14ac:dyDescent="0.35">
      <c r="A4" s="55"/>
    </row>
    <row r="5" spans="1:1" ht="15" x14ac:dyDescent="0.35">
      <c r="A5" s="55"/>
    </row>
    <row r="6" spans="1:1" x14ac:dyDescent="0.3">
      <c r="A6" t="s">
        <v>354</v>
      </c>
    </row>
    <row r="7" spans="1:1" x14ac:dyDescent="0.3">
      <c r="A7" t="s">
        <v>369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M28" sqref="M28"/>
    </sheetView>
  </sheetViews>
  <sheetFormatPr defaultRowHeight="14.4" x14ac:dyDescent="0.3"/>
  <sheetData>
    <row r="1" spans="1:1" x14ac:dyDescent="0.3">
      <c r="A1" s="54" t="s">
        <v>371</v>
      </c>
    </row>
    <row r="2" spans="1:1" ht="15" x14ac:dyDescent="0.35">
      <c r="A2" s="55" t="s">
        <v>255</v>
      </c>
    </row>
    <row r="5" spans="1:1" x14ac:dyDescent="0.3">
      <c r="A5" t="s">
        <v>355</v>
      </c>
    </row>
    <row r="6" spans="1:1" x14ac:dyDescent="0.3">
      <c r="A6" t="s">
        <v>368</v>
      </c>
    </row>
    <row r="32" spans="1:1" x14ac:dyDescent="0.3">
      <c r="A32" t="s">
        <v>356</v>
      </c>
    </row>
    <row r="33" spans="1:1" x14ac:dyDescent="0.3">
      <c r="A33" t="s">
        <v>372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S2" sqref="S2"/>
    </sheetView>
  </sheetViews>
  <sheetFormatPr defaultRowHeight="14.4" x14ac:dyDescent="0.3"/>
  <cols>
    <col min="1" max="1" width="10.44140625" bestFit="1" customWidth="1"/>
    <col min="2" max="2" width="13.33203125" bestFit="1" customWidth="1"/>
  </cols>
  <sheetData>
    <row r="1" spans="1:13" x14ac:dyDescent="0.3">
      <c r="A1" s="1"/>
    </row>
    <row r="2" spans="1:13" ht="15.6" x14ac:dyDescent="0.35">
      <c r="A2" s="1" t="s">
        <v>82</v>
      </c>
      <c r="C2" s="208" t="s">
        <v>182</v>
      </c>
      <c r="D2" s="208"/>
      <c r="E2" s="208"/>
      <c r="F2" s="208"/>
      <c r="G2" s="208"/>
      <c r="H2" s="208"/>
      <c r="I2" s="208"/>
      <c r="J2" s="208"/>
      <c r="K2" s="208"/>
      <c r="L2" s="208"/>
      <c r="M2" s="208"/>
    </row>
    <row r="3" spans="1:13" x14ac:dyDescent="0.3">
      <c r="B3" s="188" t="s">
        <v>224</v>
      </c>
      <c r="C3" s="188">
        <v>0</v>
      </c>
      <c r="D3" s="188">
        <v>2</v>
      </c>
      <c r="E3" s="188">
        <v>4</v>
      </c>
      <c r="F3" s="188">
        <v>6</v>
      </c>
      <c r="G3" s="188">
        <v>8</v>
      </c>
      <c r="H3" s="188">
        <v>10</v>
      </c>
      <c r="I3" s="188">
        <v>12</v>
      </c>
      <c r="J3" s="188">
        <v>14</v>
      </c>
      <c r="K3" s="188">
        <v>16</v>
      </c>
      <c r="L3" s="188">
        <v>18</v>
      </c>
      <c r="M3" s="188">
        <v>20</v>
      </c>
    </row>
    <row r="4" spans="1:13" x14ac:dyDescent="0.3">
      <c r="A4" s="225" t="s">
        <v>7</v>
      </c>
      <c r="B4" s="1" t="s">
        <v>274</v>
      </c>
      <c r="C4" s="9">
        <v>4.1000000000000002E-2</v>
      </c>
      <c r="D4" s="9">
        <v>5.8999999999999997E-2</v>
      </c>
      <c r="E4" s="9">
        <v>0.106</v>
      </c>
      <c r="F4" s="9">
        <v>0.215</v>
      </c>
      <c r="G4" s="9">
        <v>0.44600000000000001</v>
      </c>
      <c r="H4" s="9">
        <v>1.0900000000000001</v>
      </c>
      <c r="I4" s="9">
        <v>2.335</v>
      </c>
      <c r="J4" s="9">
        <v>3.47</v>
      </c>
      <c r="K4" s="9">
        <v>5.01</v>
      </c>
      <c r="L4" s="9">
        <v>5.49</v>
      </c>
      <c r="M4" s="9">
        <v>5.92</v>
      </c>
    </row>
    <row r="5" spans="1:13" x14ac:dyDescent="0.3">
      <c r="A5" s="225"/>
      <c r="B5" s="1" t="s">
        <v>275</v>
      </c>
      <c r="C5" s="9">
        <v>4.1000000000000002E-2</v>
      </c>
      <c r="D5" s="9">
        <v>5.2999999999999999E-2</v>
      </c>
      <c r="E5" s="9">
        <v>9.9000000000000005E-2</v>
      </c>
      <c r="F5" s="9">
        <v>0.216</v>
      </c>
      <c r="G5" s="9">
        <v>0.48599999999999999</v>
      </c>
      <c r="H5" s="9">
        <v>1.016</v>
      </c>
      <c r="I5" s="9">
        <v>1.6160000000000001</v>
      </c>
      <c r="J5" s="9">
        <v>2.99</v>
      </c>
      <c r="K5" s="9">
        <v>4.7300000000000004</v>
      </c>
      <c r="L5" s="9">
        <v>5.68</v>
      </c>
      <c r="M5" s="9">
        <v>5.52</v>
      </c>
    </row>
    <row r="6" spans="1:13" x14ac:dyDescent="0.3">
      <c r="A6" s="225" t="s">
        <v>8</v>
      </c>
      <c r="B6" s="1" t="s">
        <v>274</v>
      </c>
      <c r="C6" s="9">
        <v>5.3999999999999999E-2</v>
      </c>
      <c r="D6" s="9">
        <v>6.6000000000000003E-2</v>
      </c>
      <c r="E6" s="9">
        <v>9.7000000000000003E-2</v>
      </c>
      <c r="F6" s="9">
        <v>0.19500000000000001</v>
      </c>
      <c r="G6" s="9">
        <v>0.432</v>
      </c>
      <c r="H6" s="9">
        <v>1.0960000000000001</v>
      </c>
      <c r="I6" s="9">
        <v>1.905</v>
      </c>
      <c r="J6" s="9">
        <v>3.62</v>
      </c>
      <c r="K6" s="9">
        <v>4.6500000000000004</v>
      </c>
      <c r="L6" s="9">
        <v>5.04</v>
      </c>
      <c r="M6" s="9">
        <v>5.0199999999999996</v>
      </c>
    </row>
    <row r="7" spans="1:13" x14ac:dyDescent="0.3">
      <c r="A7" s="225"/>
      <c r="B7" s="1" t="s">
        <v>275</v>
      </c>
      <c r="C7" s="9">
        <v>5.3999999999999999E-2</v>
      </c>
      <c r="D7" s="9">
        <v>6.3E-2</v>
      </c>
      <c r="E7" s="9">
        <v>0.107</v>
      </c>
      <c r="F7" s="9">
        <v>0.17599999999999999</v>
      </c>
      <c r="G7" s="9">
        <v>0.39500000000000002</v>
      </c>
      <c r="H7" s="9">
        <v>0.92600000000000005</v>
      </c>
      <c r="I7" s="9">
        <v>2.0749999999999997</v>
      </c>
      <c r="J7" s="9">
        <v>3.54</v>
      </c>
      <c r="K7" s="9">
        <v>5.41</v>
      </c>
      <c r="L7" s="9">
        <v>5.08</v>
      </c>
      <c r="M7" s="9">
        <v>5.08</v>
      </c>
    </row>
    <row r="8" spans="1:13" x14ac:dyDescent="0.3">
      <c r="A8" s="225" t="s">
        <v>9</v>
      </c>
      <c r="B8" s="1" t="s">
        <v>274</v>
      </c>
      <c r="C8" s="9">
        <v>6.2E-2</v>
      </c>
      <c r="D8" s="9">
        <v>7.6999999999999999E-2</v>
      </c>
      <c r="E8" s="9">
        <v>0.11</v>
      </c>
      <c r="F8" s="9">
        <v>0.20300000000000001</v>
      </c>
      <c r="G8" s="9">
        <v>0.432</v>
      </c>
      <c r="H8" s="9">
        <v>1.042</v>
      </c>
      <c r="I8" s="9">
        <v>2.452</v>
      </c>
      <c r="J8" s="9">
        <v>3.7450000000000001</v>
      </c>
      <c r="K8" s="9">
        <v>5.24</v>
      </c>
      <c r="L8" s="9">
        <v>5.56</v>
      </c>
      <c r="M8" s="9">
        <v>5.3120000000000003</v>
      </c>
    </row>
    <row r="9" spans="1:13" x14ac:dyDescent="0.3">
      <c r="A9" s="225"/>
      <c r="B9" s="1" t="s">
        <v>275</v>
      </c>
      <c r="C9" s="9">
        <v>6.2E-2</v>
      </c>
      <c r="D9" s="9">
        <v>7.2999999999999995E-2</v>
      </c>
      <c r="E9" s="9">
        <v>9.9000000000000005E-2</v>
      </c>
      <c r="F9" s="9">
        <v>0.19500000000000001</v>
      </c>
      <c r="G9" s="9">
        <v>0.38600000000000001</v>
      </c>
      <c r="H9" s="9">
        <v>1.0029999999999999</v>
      </c>
      <c r="I9" s="9">
        <v>2.472</v>
      </c>
      <c r="J9" s="9">
        <v>3.5979999999999999</v>
      </c>
      <c r="K9" s="9">
        <v>4.3479999999999999</v>
      </c>
      <c r="L9" s="9">
        <v>5.05</v>
      </c>
      <c r="M9" s="9">
        <v>5.681</v>
      </c>
    </row>
    <row r="10" spans="1:13" x14ac:dyDescent="0.3">
      <c r="A10" s="207" t="s">
        <v>4</v>
      </c>
      <c r="B10" s="1" t="s">
        <v>274</v>
      </c>
      <c r="C10" s="10">
        <f>(C4+C6+C8)/3</f>
        <v>5.2333333333333336E-2</v>
      </c>
      <c r="D10" s="10">
        <f t="shared" ref="D10:M11" si="0">(D4+D6+D8)/3</f>
        <v>6.7333333333333342E-2</v>
      </c>
      <c r="E10" s="10">
        <f t="shared" si="0"/>
        <v>0.10433333333333333</v>
      </c>
      <c r="F10" s="10">
        <f t="shared" si="0"/>
        <v>0.20433333333333334</v>
      </c>
      <c r="G10" s="10">
        <f t="shared" si="0"/>
        <v>0.4366666666666667</v>
      </c>
      <c r="H10" s="10">
        <f t="shared" si="0"/>
        <v>1.0759999999999998</v>
      </c>
      <c r="I10" s="10">
        <f t="shared" si="0"/>
        <v>2.2306666666666666</v>
      </c>
      <c r="J10" s="10">
        <f t="shared" si="0"/>
        <v>3.6116666666666668</v>
      </c>
      <c r="K10" s="10">
        <f t="shared" si="0"/>
        <v>4.9666666666666668</v>
      </c>
      <c r="L10" s="10">
        <f t="shared" si="0"/>
        <v>5.3633333333333333</v>
      </c>
      <c r="M10" s="10">
        <f t="shared" si="0"/>
        <v>5.4173333333333327</v>
      </c>
    </row>
    <row r="11" spans="1:13" x14ac:dyDescent="0.3">
      <c r="A11" s="207"/>
      <c r="B11" s="1" t="s">
        <v>275</v>
      </c>
      <c r="C11" s="10">
        <f>(C5+C7+C9)/3</f>
        <v>5.2333333333333336E-2</v>
      </c>
      <c r="D11" s="10">
        <f t="shared" si="0"/>
        <v>6.3E-2</v>
      </c>
      <c r="E11" s="10">
        <f t="shared" si="0"/>
        <v>0.10166666666666668</v>
      </c>
      <c r="F11" s="10">
        <f t="shared" si="0"/>
        <v>0.19566666666666666</v>
      </c>
      <c r="G11" s="10">
        <f t="shared" si="0"/>
        <v>0.42233333333333328</v>
      </c>
      <c r="H11" s="10">
        <f t="shared" si="0"/>
        <v>0.9816666666666668</v>
      </c>
      <c r="I11" s="10">
        <f t="shared" si="0"/>
        <v>2.0543333333333336</v>
      </c>
      <c r="J11" s="10">
        <f t="shared" si="0"/>
        <v>3.3759999999999999</v>
      </c>
      <c r="K11" s="10">
        <f t="shared" si="0"/>
        <v>4.8293333333333335</v>
      </c>
      <c r="L11" s="10">
        <f t="shared" si="0"/>
        <v>5.27</v>
      </c>
      <c r="M11" s="10">
        <f t="shared" si="0"/>
        <v>5.4269999999999996</v>
      </c>
    </row>
    <row r="12" spans="1:13" x14ac:dyDescent="0.3">
      <c r="A12" s="207" t="s">
        <v>5</v>
      </c>
      <c r="B12" s="1" t="s">
        <v>274</v>
      </c>
      <c r="C12" s="10">
        <f t="shared" ref="C12:M12" si="1">(ABS(C4-C10)+ABS(C6-C10)+ABS(C8-C10))/3</f>
        <v>7.5555555555555541E-3</v>
      </c>
      <c r="D12" s="10">
        <f t="shared" si="1"/>
        <v>6.4444444444444471E-3</v>
      </c>
      <c r="E12" s="10">
        <f t="shared" si="1"/>
        <v>4.8888888888888871E-3</v>
      </c>
      <c r="F12" s="10">
        <f t="shared" si="1"/>
        <v>7.1111111111111054E-3</v>
      </c>
      <c r="G12" s="10">
        <f t="shared" si="1"/>
        <v>6.2222222222222401E-3</v>
      </c>
      <c r="H12" s="10">
        <f t="shared" si="1"/>
        <v>2.2666666666666762E-2</v>
      </c>
      <c r="I12" s="10">
        <f t="shared" si="1"/>
        <v>0.21711111111111112</v>
      </c>
      <c r="J12" s="10">
        <f t="shared" si="1"/>
        <v>9.44444444444444E-2</v>
      </c>
      <c r="K12" s="10">
        <f t="shared" si="1"/>
        <v>0.21111111111111094</v>
      </c>
      <c r="L12" s="10">
        <f t="shared" si="1"/>
        <v>0.2155555555555555</v>
      </c>
      <c r="M12" s="10">
        <f t="shared" si="1"/>
        <v>0.33511111111111092</v>
      </c>
    </row>
    <row r="13" spans="1:13" x14ac:dyDescent="0.3">
      <c r="A13" s="207"/>
      <c r="B13" s="1" t="s">
        <v>275</v>
      </c>
      <c r="C13" s="10">
        <f t="shared" ref="C13:M13" si="2">(ABS(C5-C11)+ABS(C7-C11)+ABS(C9-C11))/3</f>
        <v>7.5555555555555541E-3</v>
      </c>
      <c r="D13" s="10">
        <f t="shared" si="2"/>
        <v>6.6666666666666654E-3</v>
      </c>
      <c r="E13" s="10">
        <f t="shared" si="2"/>
        <v>3.555555555555557E-3</v>
      </c>
      <c r="F13" s="10">
        <f t="shared" si="2"/>
        <v>1.3555555555555552E-2</v>
      </c>
      <c r="G13" s="10">
        <f t="shared" si="2"/>
        <v>4.2444444444444417E-2</v>
      </c>
      <c r="H13" s="10">
        <f t="shared" si="2"/>
        <v>3.7111111111111018E-2</v>
      </c>
      <c r="I13" s="10">
        <f t="shared" si="2"/>
        <v>0.29222222222222199</v>
      </c>
      <c r="J13" s="10">
        <f t="shared" si="2"/>
        <v>0.25733333333333325</v>
      </c>
      <c r="K13" s="10">
        <f t="shared" si="2"/>
        <v>0.38711111111111113</v>
      </c>
      <c r="L13" s="10">
        <f t="shared" si="2"/>
        <v>0.27333333333333315</v>
      </c>
      <c r="M13" s="10">
        <f t="shared" si="2"/>
        <v>0.23133333333333331</v>
      </c>
    </row>
  </sheetData>
  <mergeCells count="6">
    <mergeCell ref="A12:A13"/>
    <mergeCell ref="C2:M2"/>
    <mergeCell ref="A4:A5"/>
    <mergeCell ref="A8:A9"/>
    <mergeCell ref="A6:A7"/>
    <mergeCell ref="A10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D8" sqref="D8:D12"/>
    </sheetView>
  </sheetViews>
  <sheetFormatPr defaultRowHeight="14.4" x14ac:dyDescent="0.3"/>
  <cols>
    <col min="3" max="3" width="53" customWidth="1"/>
    <col min="4" max="6" width="10.44140625" bestFit="1" customWidth="1"/>
    <col min="9" max="9" width="17.6640625" bestFit="1" customWidth="1"/>
    <col min="10" max="12" width="10.44140625" bestFit="1" customWidth="1"/>
  </cols>
  <sheetData>
    <row r="1" spans="1:14" x14ac:dyDescent="0.3">
      <c r="A1" s="189"/>
      <c r="B1" s="189"/>
      <c r="C1" s="189"/>
      <c r="D1" s="219" t="s">
        <v>268</v>
      </c>
      <c r="E1" s="220"/>
      <c r="F1" s="220"/>
      <c r="G1" s="189"/>
      <c r="H1" s="189"/>
      <c r="I1" s="189"/>
      <c r="J1" s="219" t="s">
        <v>269</v>
      </c>
      <c r="K1" s="220"/>
      <c r="L1" s="220"/>
      <c r="M1" s="189"/>
      <c r="N1" s="189"/>
    </row>
    <row r="2" spans="1:14" x14ac:dyDescent="0.3">
      <c r="A2" s="189"/>
      <c r="B2" s="189"/>
      <c r="C2" s="189"/>
      <c r="D2" s="220" t="s">
        <v>3</v>
      </c>
      <c r="E2" s="220"/>
      <c r="F2" s="220"/>
      <c r="G2" s="207" t="s">
        <v>4</v>
      </c>
      <c r="H2" s="207" t="s">
        <v>5</v>
      </c>
      <c r="I2" s="208" t="s">
        <v>6</v>
      </c>
      <c r="J2" s="220" t="s">
        <v>3</v>
      </c>
      <c r="K2" s="220"/>
      <c r="L2" s="220"/>
      <c r="M2" s="207" t="s">
        <v>4</v>
      </c>
      <c r="N2" s="207" t="s">
        <v>5</v>
      </c>
    </row>
    <row r="3" spans="1:14" x14ac:dyDescent="0.3">
      <c r="A3" s="200" t="s">
        <v>266</v>
      </c>
      <c r="B3" s="58" t="s">
        <v>257</v>
      </c>
      <c r="C3" s="58" t="s">
        <v>258</v>
      </c>
      <c r="D3" s="193" t="s">
        <v>7</v>
      </c>
      <c r="E3" s="193" t="s">
        <v>8</v>
      </c>
      <c r="F3" s="193" t="s">
        <v>9</v>
      </c>
      <c r="G3" s="215"/>
      <c r="H3" s="215"/>
      <c r="I3" s="221"/>
      <c r="J3" s="193" t="s">
        <v>7</v>
      </c>
      <c r="K3" s="193" t="s">
        <v>8</v>
      </c>
      <c r="L3" s="193" t="s">
        <v>9</v>
      </c>
      <c r="M3" s="215"/>
      <c r="N3" s="215"/>
    </row>
    <row r="4" spans="1:14" x14ac:dyDescent="0.3">
      <c r="A4" s="217" t="s">
        <v>265</v>
      </c>
      <c r="B4" s="201" t="s">
        <v>256</v>
      </c>
      <c r="C4" s="201" t="s">
        <v>336</v>
      </c>
      <c r="D4" s="191">
        <v>8.0857749999999999</v>
      </c>
      <c r="E4" s="191">
        <v>14.292624999999999</v>
      </c>
      <c r="F4" s="191">
        <v>12.643387499999999</v>
      </c>
      <c r="G4" s="191">
        <f t="shared" ref="G4:G11" si="0">AVERAGE(D4:F4)</f>
        <v>11.673929166666667</v>
      </c>
      <c r="H4" s="191">
        <f t="shared" ref="H4:H11" si="1">(ABS(D4-G4)+ABS(E4-G4)+ABS(F4-G4))/3</f>
        <v>2.3921027777777772</v>
      </c>
      <c r="I4" s="194" t="s">
        <v>11</v>
      </c>
      <c r="J4" s="195" t="s">
        <v>11</v>
      </c>
      <c r="K4" s="195" t="s">
        <v>11</v>
      </c>
      <c r="L4" s="195" t="s">
        <v>11</v>
      </c>
      <c r="M4" s="195" t="s">
        <v>11</v>
      </c>
      <c r="N4" s="195" t="s">
        <v>11</v>
      </c>
    </row>
    <row r="5" spans="1:14" x14ac:dyDescent="0.3">
      <c r="A5" s="217"/>
      <c r="B5" s="201" t="s">
        <v>256</v>
      </c>
      <c r="C5" s="201" t="s">
        <v>337</v>
      </c>
      <c r="D5" s="191">
        <v>11.094352500000001</v>
      </c>
      <c r="E5" s="191">
        <v>18.521887499999998</v>
      </c>
      <c r="F5" s="191">
        <v>13.90772625</v>
      </c>
      <c r="G5" s="191">
        <f t="shared" si="0"/>
        <v>14.507988750000001</v>
      </c>
      <c r="H5" s="191">
        <f t="shared" si="1"/>
        <v>2.6759324999999996</v>
      </c>
      <c r="I5" s="191">
        <f t="shared" ref="I5:I11" si="2">G5/G$4</f>
        <v>1.242768269609311</v>
      </c>
      <c r="J5" s="195" t="s">
        <v>11</v>
      </c>
      <c r="K5" s="195" t="s">
        <v>11</v>
      </c>
      <c r="L5" s="195" t="s">
        <v>11</v>
      </c>
      <c r="M5" s="195" t="s">
        <v>11</v>
      </c>
      <c r="N5" s="195" t="s">
        <v>11</v>
      </c>
    </row>
    <row r="6" spans="1:14" x14ac:dyDescent="0.3">
      <c r="A6" s="217"/>
      <c r="B6" s="201" t="s">
        <v>256</v>
      </c>
      <c r="C6" s="201" t="s">
        <v>338</v>
      </c>
      <c r="D6" s="191">
        <v>24.280985250000001</v>
      </c>
      <c r="E6" s="191">
        <v>36.937438749999998</v>
      </c>
      <c r="F6" s="191">
        <v>28.677547624999999</v>
      </c>
      <c r="G6" s="191">
        <f t="shared" si="0"/>
        <v>29.965323874999999</v>
      </c>
      <c r="H6" s="191">
        <f t="shared" si="1"/>
        <v>4.6480765833333324</v>
      </c>
      <c r="I6" s="191">
        <f t="shared" si="2"/>
        <v>2.5668584627497952</v>
      </c>
      <c r="J6" s="189">
        <v>0.74580000000000002</v>
      </c>
      <c r="K6" s="189">
        <v>1.2047000000000001</v>
      </c>
      <c r="L6" s="189">
        <v>0.98740000000000006</v>
      </c>
      <c r="M6" s="191">
        <f>AVERAGE(J6:L6)</f>
        <v>0.97929999999999995</v>
      </c>
      <c r="N6" s="196">
        <f>(ABS(J6-M6)+ABS(K6-M6)+ABS(L6-M6))/3</f>
        <v>0.15566666666666673</v>
      </c>
    </row>
    <row r="7" spans="1:14" x14ac:dyDescent="0.3">
      <c r="A7" s="217"/>
      <c r="B7" s="201" t="s">
        <v>256</v>
      </c>
      <c r="C7" s="201" t="s">
        <v>339</v>
      </c>
      <c r="D7" s="191">
        <v>60.586758699999997</v>
      </c>
      <c r="E7" s="191">
        <v>82.624828500000007</v>
      </c>
      <c r="F7" s="191">
        <v>84.697133350000001</v>
      </c>
      <c r="G7" s="191">
        <f t="shared" si="0"/>
        <v>75.969573516666671</v>
      </c>
      <c r="H7" s="191">
        <f t="shared" si="1"/>
        <v>10.25520987777778</v>
      </c>
      <c r="I7" s="191">
        <f t="shared" si="2"/>
        <v>6.5076267323591068</v>
      </c>
      <c r="J7" s="189">
        <v>7.4520000000000003E-2</v>
      </c>
      <c r="K7" s="189">
        <v>2.47E-2</v>
      </c>
      <c r="L7" s="189">
        <v>3.014E-2</v>
      </c>
      <c r="M7" s="191">
        <f>AVERAGE(J7:L7)</f>
        <v>4.3119999999999999E-2</v>
      </c>
      <c r="N7" s="196">
        <f>(ABS(J7-M7)+ABS(K7-M7)+ABS(L7-M7))/3</f>
        <v>2.0933333333333332E-2</v>
      </c>
    </row>
    <row r="8" spans="1:14" x14ac:dyDescent="0.3">
      <c r="A8" s="217"/>
      <c r="B8" s="201" t="s">
        <v>267</v>
      </c>
      <c r="C8" s="201" t="s">
        <v>336</v>
      </c>
      <c r="D8" s="191">
        <v>13.1629725</v>
      </c>
      <c r="E8" s="191">
        <v>29.355987500000001</v>
      </c>
      <c r="F8" s="191">
        <v>24.022436249999998</v>
      </c>
      <c r="G8" s="191">
        <f t="shared" si="0"/>
        <v>22.180465416666664</v>
      </c>
      <c r="H8" s="191">
        <f t="shared" si="1"/>
        <v>6.0116619444444455</v>
      </c>
      <c r="I8" s="191">
        <f t="shared" si="2"/>
        <v>1.8999999999999997</v>
      </c>
      <c r="J8" s="195" t="s">
        <v>11</v>
      </c>
      <c r="K8" s="195" t="s">
        <v>11</v>
      </c>
      <c r="L8" s="195" t="s">
        <v>11</v>
      </c>
      <c r="M8" s="195" t="s">
        <v>11</v>
      </c>
      <c r="N8" s="195" t="s">
        <v>11</v>
      </c>
    </row>
    <row r="9" spans="1:14" x14ac:dyDescent="0.3">
      <c r="A9" s="217"/>
      <c r="B9" s="201" t="s">
        <v>267</v>
      </c>
      <c r="C9" s="201" t="s">
        <v>337</v>
      </c>
      <c r="D9" s="191">
        <v>18.079269750000002</v>
      </c>
      <c r="E9" s="191">
        <v>35.69158625</v>
      </c>
      <c r="F9" s="191">
        <v>26.424679874999999</v>
      </c>
      <c r="G9" s="191">
        <f t="shared" si="0"/>
        <v>26.731845291666669</v>
      </c>
      <c r="H9" s="191">
        <f t="shared" si="1"/>
        <v>5.9731606388888894</v>
      </c>
      <c r="I9" s="191">
        <f t="shared" si="2"/>
        <v>2.2898755774530355</v>
      </c>
      <c r="J9" s="195" t="s">
        <v>11</v>
      </c>
      <c r="K9" s="195" t="s">
        <v>11</v>
      </c>
      <c r="L9" s="195" t="s">
        <v>11</v>
      </c>
      <c r="M9" s="195" t="s">
        <v>11</v>
      </c>
      <c r="N9" s="195" t="s">
        <v>11</v>
      </c>
    </row>
    <row r="10" spans="1:14" x14ac:dyDescent="0.3">
      <c r="A10" s="217"/>
      <c r="B10" s="201" t="s">
        <v>267</v>
      </c>
      <c r="C10" s="201" t="s">
        <v>338</v>
      </c>
      <c r="D10" s="191">
        <v>33.239661120000001</v>
      </c>
      <c r="E10" s="191">
        <v>53.199921600000003</v>
      </c>
      <c r="F10" s="191">
        <v>48.147260959999997</v>
      </c>
      <c r="G10" s="191">
        <f t="shared" si="0"/>
        <v>44.862281226666674</v>
      </c>
      <c r="H10" s="191">
        <f t="shared" si="1"/>
        <v>7.7484134044444417</v>
      </c>
      <c r="I10" s="191">
        <f t="shared" si="2"/>
        <v>3.8429461568744889</v>
      </c>
      <c r="J10" s="189">
        <v>0.52569999999999995</v>
      </c>
      <c r="K10" s="189">
        <v>0.12470000000000001</v>
      </c>
      <c r="L10" s="189">
        <v>9.8699999999999996E-2</v>
      </c>
      <c r="M10" s="191">
        <f>AVERAGE(J10:L10)</f>
        <v>0.24970000000000001</v>
      </c>
      <c r="N10" s="196">
        <f>(ABS(J10-M10)+ABS(K10-M10)+ABS(L10-M10))/3</f>
        <v>0.18399999999999997</v>
      </c>
    </row>
    <row r="11" spans="1:14" x14ac:dyDescent="0.3">
      <c r="A11" s="218"/>
      <c r="B11" s="202" t="s">
        <v>267</v>
      </c>
      <c r="C11" s="202" t="s">
        <v>339</v>
      </c>
      <c r="D11" s="197">
        <v>118.50411044000001</v>
      </c>
      <c r="E11" s="197">
        <v>93.149794200000002</v>
      </c>
      <c r="F11" s="197">
        <v>129.63656001999999</v>
      </c>
      <c r="G11" s="197">
        <f t="shared" si="0"/>
        <v>113.76348822</v>
      </c>
      <c r="H11" s="197">
        <f t="shared" si="1"/>
        <v>13.742462679999997</v>
      </c>
      <c r="I11" s="197">
        <f t="shared" si="2"/>
        <v>9.7450898147331859</v>
      </c>
      <c r="J11" s="198">
        <v>2.1399999999999999E-2</v>
      </c>
      <c r="K11" s="198">
        <v>4.7100000000000003E-2</v>
      </c>
      <c r="L11" s="198">
        <v>1.47E-2</v>
      </c>
      <c r="M11" s="197">
        <f>AVERAGE(J11:L11)</f>
        <v>2.7733333333333336E-2</v>
      </c>
      <c r="N11" s="199">
        <f>(ABS(J11-M11)+ABS(K11-M11)+ABS(L11-M11))/3</f>
        <v>1.2911111111111115E-2</v>
      </c>
    </row>
  </sheetData>
  <mergeCells count="10">
    <mergeCell ref="M2:M3"/>
    <mergeCell ref="N2:N3"/>
    <mergeCell ref="A4:A11"/>
    <mergeCell ref="D1:F1"/>
    <mergeCell ref="J1:L1"/>
    <mergeCell ref="D2:F2"/>
    <mergeCell ref="G2:G3"/>
    <mergeCell ref="H2:H3"/>
    <mergeCell ref="I2:I3"/>
    <mergeCell ref="J2:L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Q32" sqref="Q32"/>
    </sheetView>
  </sheetViews>
  <sheetFormatPr defaultRowHeight="14.4" x14ac:dyDescent="0.3"/>
  <sheetData>
    <row r="2" spans="1:1" x14ac:dyDescent="0.3">
      <c r="A2" s="54" t="s">
        <v>276</v>
      </c>
    </row>
    <row r="3" spans="1:1" ht="15" x14ac:dyDescent="0.35">
      <c r="A3" s="55" t="s">
        <v>254</v>
      </c>
    </row>
    <row r="4" spans="1:1" x14ac:dyDescent="0.3">
      <c r="A4" t="s">
        <v>316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selection activeCell="C4" sqref="C4"/>
    </sheetView>
  </sheetViews>
  <sheetFormatPr defaultRowHeight="14.4" x14ac:dyDescent="0.3"/>
  <cols>
    <col min="1" max="1" width="15.109375" bestFit="1" customWidth="1"/>
    <col min="2" max="2" width="10.88671875" bestFit="1" customWidth="1"/>
    <col min="3" max="4" width="10.44140625" bestFit="1" customWidth="1"/>
    <col min="7" max="7" width="10.88671875" bestFit="1" customWidth="1"/>
    <col min="8" max="9" width="10.44140625" bestFit="1" customWidth="1"/>
  </cols>
  <sheetData>
    <row r="1" spans="1:11" x14ac:dyDescent="0.3">
      <c r="A1" s="208" t="s">
        <v>394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x14ac:dyDescent="0.3">
      <c r="B2" s="229" t="s">
        <v>12</v>
      </c>
      <c r="C2" s="229"/>
      <c r="D2" s="229"/>
      <c r="E2" s="229"/>
      <c r="F2" s="229"/>
      <c r="G2" s="229" t="s">
        <v>13</v>
      </c>
      <c r="H2" s="229"/>
      <c r="I2" s="229"/>
      <c r="J2" s="229"/>
      <c r="K2" s="229"/>
    </row>
    <row r="3" spans="1:11" x14ac:dyDescent="0.3">
      <c r="A3" s="1" t="s">
        <v>195</v>
      </c>
      <c r="B3" s="209" t="s">
        <v>196</v>
      </c>
      <c r="C3" s="209"/>
      <c r="D3" s="209"/>
      <c r="E3" s="207" t="s">
        <v>4</v>
      </c>
      <c r="G3" s="209" t="s">
        <v>196</v>
      </c>
      <c r="H3" s="209"/>
      <c r="I3" s="209"/>
      <c r="J3" s="207" t="s">
        <v>4</v>
      </c>
    </row>
    <row r="4" spans="1:11" x14ac:dyDescent="0.3">
      <c r="B4" t="s">
        <v>147</v>
      </c>
      <c r="C4" t="s">
        <v>8</v>
      </c>
      <c r="D4" t="s">
        <v>9</v>
      </c>
      <c r="E4" s="207"/>
      <c r="F4" s="39" t="s">
        <v>170</v>
      </c>
      <c r="G4" t="s">
        <v>147</v>
      </c>
      <c r="H4" t="s">
        <v>8</v>
      </c>
      <c r="I4" t="s">
        <v>9</v>
      </c>
      <c r="J4" s="207"/>
      <c r="K4" s="39" t="s">
        <v>170</v>
      </c>
    </row>
    <row r="5" spans="1:11" x14ac:dyDescent="0.3">
      <c r="A5" t="s">
        <v>197</v>
      </c>
      <c r="B5" s="40">
        <v>99.2</v>
      </c>
      <c r="C5" s="40">
        <v>215.04</v>
      </c>
      <c r="D5" s="9">
        <v>277.12</v>
      </c>
      <c r="E5" s="9">
        <f t="shared" ref="E5:E14" si="0">(B5+C5+D5)/3</f>
        <v>197.12</v>
      </c>
      <c r="F5" s="41">
        <f t="shared" ref="F5:F14" si="1">E5/E$15*100</f>
        <v>80.32054329371816</v>
      </c>
      <c r="G5" s="9">
        <v>113.12</v>
      </c>
      <c r="H5" s="9">
        <v>44.54</v>
      </c>
      <c r="I5" s="9">
        <v>133.44</v>
      </c>
      <c r="J5" s="9">
        <f t="shared" ref="J5:J14" si="2">(G5+H5+I5)/3</f>
        <v>97.033333333333346</v>
      </c>
      <c r="K5" s="41">
        <f t="shared" ref="K5:K14" si="3">J5/J$15*100</f>
        <v>64.311594202898533</v>
      </c>
    </row>
    <row r="6" spans="1:11" x14ac:dyDescent="0.3">
      <c r="A6" t="s">
        <v>198</v>
      </c>
      <c r="B6" s="42">
        <v>11.08</v>
      </c>
      <c r="C6" s="42">
        <v>3.2</v>
      </c>
      <c r="D6" s="9">
        <v>5.0999999999999996</v>
      </c>
      <c r="E6" s="9">
        <f t="shared" si="0"/>
        <v>6.4600000000000009</v>
      </c>
      <c r="F6" s="41">
        <f t="shared" si="1"/>
        <v>2.6322580645161291</v>
      </c>
      <c r="G6" s="9">
        <v>9.2100000000000009</v>
      </c>
      <c r="H6" s="9">
        <v>13.07</v>
      </c>
      <c r="I6" s="9">
        <v>4.8</v>
      </c>
      <c r="J6" s="9">
        <f t="shared" si="2"/>
        <v>9.0266666666666673</v>
      </c>
      <c r="K6" s="41">
        <f t="shared" si="3"/>
        <v>5.9826793920113097</v>
      </c>
    </row>
    <row r="7" spans="1:11" x14ac:dyDescent="0.3">
      <c r="A7" t="s">
        <v>199</v>
      </c>
      <c r="B7" s="42">
        <v>29.02</v>
      </c>
      <c r="C7" s="42">
        <v>12.3</v>
      </c>
      <c r="D7" s="9">
        <v>37.4</v>
      </c>
      <c r="E7" s="9">
        <f t="shared" si="0"/>
        <v>26.24</v>
      </c>
      <c r="F7" s="41">
        <f t="shared" si="1"/>
        <v>10.692020373514429</v>
      </c>
      <c r="G7" s="9">
        <v>26.3</v>
      </c>
      <c r="H7" s="9">
        <v>16.400000000000002</v>
      </c>
      <c r="I7" s="9">
        <v>23.41</v>
      </c>
      <c r="J7" s="9">
        <f t="shared" si="2"/>
        <v>22.036666666666665</v>
      </c>
      <c r="K7" s="41">
        <f t="shared" si="3"/>
        <v>14.605425945563796</v>
      </c>
    </row>
    <row r="8" spans="1:11" x14ac:dyDescent="0.3">
      <c r="A8" t="s">
        <v>200</v>
      </c>
      <c r="B8" s="40">
        <v>2.2999999999999998</v>
      </c>
      <c r="C8" s="40">
        <v>6.45</v>
      </c>
      <c r="D8" s="9">
        <v>7.41</v>
      </c>
      <c r="E8" s="9">
        <f t="shared" si="0"/>
        <v>5.3866666666666667</v>
      </c>
      <c r="F8" s="41">
        <f t="shared" si="1"/>
        <v>2.1949066213921902</v>
      </c>
      <c r="G8" s="9">
        <v>1.7999999999999998</v>
      </c>
      <c r="H8" s="9">
        <v>2.83</v>
      </c>
      <c r="I8" s="9">
        <v>2.1</v>
      </c>
      <c r="J8" s="9">
        <f t="shared" si="2"/>
        <v>2.2433333333333336</v>
      </c>
      <c r="K8" s="41">
        <f t="shared" si="3"/>
        <v>1.4868328031106395</v>
      </c>
    </row>
    <row r="9" spans="1:11" x14ac:dyDescent="0.3">
      <c r="A9" t="s">
        <v>201</v>
      </c>
      <c r="B9" s="40">
        <v>2.6</v>
      </c>
      <c r="C9" s="40">
        <v>1.7999999999999998</v>
      </c>
      <c r="D9" s="9">
        <v>0.91999999999999993</v>
      </c>
      <c r="E9" s="9">
        <f t="shared" si="0"/>
        <v>1.7733333333333334</v>
      </c>
      <c r="F9" s="41">
        <f t="shared" si="1"/>
        <v>0.72258064516129028</v>
      </c>
      <c r="G9" s="9">
        <v>0.80999999999999994</v>
      </c>
      <c r="H9" s="9">
        <v>1.7999999999999998</v>
      </c>
      <c r="I9" s="9">
        <v>1.0999999999999999</v>
      </c>
      <c r="J9" s="9">
        <f t="shared" si="2"/>
        <v>1.2366666666666666</v>
      </c>
      <c r="K9" s="41">
        <f t="shared" si="3"/>
        <v>0.81963591375044142</v>
      </c>
    </row>
    <row r="10" spans="1:11" x14ac:dyDescent="0.3">
      <c r="A10" t="s">
        <v>17</v>
      </c>
      <c r="B10" s="40">
        <v>2.44</v>
      </c>
      <c r="C10" s="40">
        <v>1.0999999999999999</v>
      </c>
      <c r="D10" s="9">
        <v>1.7999999999999998</v>
      </c>
      <c r="E10" s="9">
        <f t="shared" si="0"/>
        <v>1.78</v>
      </c>
      <c r="F10" s="41">
        <f t="shared" si="1"/>
        <v>0.72529711375212225</v>
      </c>
      <c r="G10" s="9">
        <v>0.49</v>
      </c>
      <c r="H10" s="9">
        <v>1.53</v>
      </c>
      <c r="I10" s="9">
        <v>0.77</v>
      </c>
      <c r="J10" s="9">
        <f t="shared" si="2"/>
        <v>0.93</v>
      </c>
      <c r="K10" s="41">
        <f t="shared" si="3"/>
        <v>0.61638388123011645</v>
      </c>
    </row>
    <row r="11" spans="1:11" x14ac:dyDescent="0.3">
      <c r="A11" t="s">
        <v>202</v>
      </c>
      <c r="B11" s="42">
        <v>3.4000000000000004</v>
      </c>
      <c r="C11" s="42">
        <v>1.7999999999999998</v>
      </c>
      <c r="D11" s="9">
        <v>2.6</v>
      </c>
      <c r="E11" s="9">
        <f t="shared" si="0"/>
        <v>2.6</v>
      </c>
      <c r="F11" s="41">
        <f t="shared" si="1"/>
        <v>1.0594227504244482</v>
      </c>
      <c r="G11" s="9">
        <v>3.2099999999999995</v>
      </c>
      <c r="H11" s="9">
        <v>2.17</v>
      </c>
      <c r="I11" s="9">
        <v>4.5600000000000005</v>
      </c>
      <c r="J11" s="9">
        <f t="shared" si="2"/>
        <v>3.313333333333333</v>
      </c>
      <c r="K11" s="41">
        <f t="shared" si="3"/>
        <v>2.1960056557087304</v>
      </c>
    </row>
    <row r="12" spans="1:11" x14ac:dyDescent="0.3">
      <c r="A12" t="s">
        <v>203</v>
      </c>
      <c r="B12" s="42">
        <v>1.72</v>
      </c>
      <c r="C12" s="42">
        <v>1.0999999999999999</v>
      </c>
      <c r="D12" s="9">
        <v>1.3</v>
      </c>
      <c r="E12" s="9">
        <f t="shared" si="0"/>
        <v>1.3733333333333333</v>
      </c>
      <c r="F12" s="41">
        <f t="shared" si="1"/>
        <v>0.55959252971137519</v>
      </c>
      <c r="G12" s="9">
        <v>5.1100000000000003</v>
      </c>
      <c r="H12" s="9">
        <v>8.2199999999999989</v>
      </c>
      <c r="I12" s="9">
        <v>3.51</v>
      </c>
      <c r="J12" s="9">
        <f t="shared" si="2"/>
        <v>5.6133333333333324</v>
      </c>
      <c r="K12" s="41">
        <f t="shared" si="3"/>
        <v>3.7203958996111681</v>
      </c>
    </row>
    <row r="13" spans="1:11" x14ac:dyDescent="0.3">
      <c r="A13" t="s">
        <v>204</v>
      </c>
      <c r="B13" s="40">
        <v>0.91999999999999993</v>
      </c>
      <c r="C13" s="40">
        <v>0.44999999999999996</v>
      </c>
      <c r="D13" s="9">
        <v>0.92999999999999994</v>
      </c>
      <c r="E13" s="9">
        <f t="shared" si="0"/>
        <v>0.76666666666666661</v>
      </c>
      <c r="F13" s="41">
        <f t="shared" si="1"/>
        <v>0.31239388794567058</v>
      </c>
      <c r="G13" s="9">
        <v>0.25</v>
      </c>
      <c r="H13" s="9">
        <v>0.31</v>
      </c>
      <c r="I13" s="9">
        <v>1.06</v>
      </c>
      <c r="J13" s="9">
        <f t="shared" si="2"/>
        <v>0.54</v>
      </c>
      <c r="K13" s="41">
        <f t="shared" si="3"/>
        <v>0.35790031813361606</v>
      </c>
    </row>
    <row r="14" spans="1:11" x14ac:dyDescent="0.3">
      <c r="A14" t="s">
        <v>16</v>
      </c>
      <c r="B14" s="40">
        <v>2.5499999999999998</v>
      </c>
      <c r="C14" s="40">
        <v>1.7000000000000002</v>
      </c>
      <c r="D14" s="9">
        <v>1.5</v>
      </c>
      <c r="E14" s="9">
        <f t="shared" si="0"/>
        <v>1.9166666666666667</v>
      </c>
      <c r="F14" s="41">
        <f t="shared" si="1"/>
        <v>0.7809847198641765</v>
      </c>
      <c r="G14" s="9">
        <v>9.9</v>
      </c>
      <c r="H14" s="9">
        <v>5.12</v>
      </c>
      <c r="I14" s="9">
        <v>11.700000000000001</v>
      </c>
      <c r="J14" s="9">
        <f t="shared" si="2"/>
        <v>8.9066666666666663</v>
      </c>
      <c r="K14" s="41">
        <f t="shared" si="3"/>
        <v>5.9031459879816168</v>
      </c>
    </row>
    <row r="15" spans="1:11" x14ac:dyDescent="0.3">
      <c r="A15" t="s">
        <v>205</v>
      </c>
      <c r="B15" s="9">
        <f t="shared" ref="B15:K15" si="4">SUM(B5:B14)</f>
        <v>155.23000000000002</v>
      </c>
      <c r="C15" s="9">
        <f t="shared" si="4"/>
        <v>244.93999999999997</v>
      </c>
      <c r="D15" s="9">
        <f t="shared" si="4"/>
        <v>336.0800000000001</v>
      </c>
      <c r="E15" s="9">
        <f t="shared" si="4"/>
        <v>245.41666666666669</v>
      </c>
      <c r="F15" s="41">
        <f t="shared" si="4"/>
        <v>99.999999999999986</v>
      </c>
      <c r="G15" s="9">
        <f t="shared" si="4"/>
        <v>170.20000000000007</v>
      </c>
      <c r="H15" s="9">
        <f t="shared" si="4"/>
        <v>95.990000000000009</v>
      </c>
      <c r="I15" s="9">
        <f t="shared" si="4"/>
        <v>186.45</v>
      </c>
      <c r="J15" s="9">
        <f t="shared" si="4"/>
        <v>150.88000000000005</v>
      </c>
      <c r="K15" s="41">
        <f t="shared" si="4"/>
        <v>99.999999999999972</v>
      </c>
    </row>
    <row r="16" spans="1:11" x14ac:dyDescent="0.3">
      <c r="F16" s="43"/>
      <c r="K16" s="43"/>
    </row>
    <row r="17" spans="1:11" x14ac:dyDescent="0.3">
      <c r="A17" s="1" t="s">
        <v>206</v>
      </c>
      <c r="B17" s="209" t="s">
        <v>196</v>
      </c>
      <c r="C17" s="209"/>
      <c r="D17" s="209"/>
      <c r="E17" s="207" t="s">
        <v>4</v>
      </c>
      <c r="F17" s="43"/>
      <c r="G17" s="209" t="s">
        <v>196</v>
      </c>
      <c r="H17" s="209"/>
      <c r="I17" s="209"/>
      <c r="J17" s="207" t="s">
        <v>4</v>
      </c>
      <c r="K17" s="43"/>
    </row>
    <row r="18" spans="1:11" x14ac:dyDescent="0.3">
      <c r="B18" t="s">
        <v>147</v>
      </c>
      <c r="C18" t="s">
        <v>8</v>
      </c>
      <c r="D18" t="s">
        <v>9</v>
      </c>
      <c r="E18" s="207"/>
      <c r="F18" s="39" t="s">
        <v>170</v>
      </c>
      <c r="G18" t="s">
        <v>147</v>
      </c>
      <c r="H18" t="s">
        <v>8</v>
      </c>
      <c r="I18" t="s">
        <v>9</v>
      </c>
      <c r="J18" s="207"/>
      <c r="K18" s="39" t="s">
        <v>170</v>
      </c>
    </row>
    <row r="19" spans="1:11" x14ac:dyDescent="0.3">
      <c r="A19" t="s">
        <v>16</v>
      </c>
      <c r="B19">
        <v>220.22</v>
      </c>
      <c r="C19">
        <v>350.27</v>
      </c>
      <c r="D19">
        <v>471.37</v>
      </c>
      <c r="E19" s="9">
        <f>(B19+C19+D19)/3</f>
        <v>347.28666666666669</v>
      </c>
      <c r="F19" s="43">
        <f>E19/E20*100</f>
        <v>100</v>
      </c>
      <c r="G19">
        <v>871.91</v>
      </c>
      <c r="H19">
        <v>627.75</v>
      </c>
      <c r="I19">
        <v>701.82</v>
      </c>
      <c r="J19" s="9">
        <f>(G19+H19+I19)/3</f>
        <v>733.82666666666671</v>
      </c>
      <c r="K19" s="43">
        <f>J19/J20*100</f>
        <v>100</v>
      </c>
    </row>
    <row r="20" spans="1:11" x14ac:dyDescent="0.3">
      <c r="A20" t="s">
        <v>205</v>
      </c>
      <c r="B20">
        <f t="shared" ref="B20:K20" si="5">SUM(B19)</f>
        <v>220.22</v>
      </c>
      <c r="C20">
        <f t="shared" si="5"/>
        <v>350.27</v>
      </c>
      <c r="D20">
        <f t="shared" si="5"/>
        <v>471.37</v>
      </c>
      <c r="E20" s="9">
        <f t="shared" si="5"/>
        <v>347.28666666666669</v>
      </c>
      <c r="F20" s="43">
        <f t="shared" si="5"/>
        <v>100</v>
      </c>
      <c r="G20">
        <f t="shared" si="5"/>
        <v>871.91</v>
      </c>
      <c r="H20">
        <f t="shared" si="5"/>
        <v>627.75</v>
      </c>
      <c r="I20">
        <f t="shared" si="5"/>
        <v>701.82</v>
      </c>
      <c r="J20" s="9">
        <f t="shared" si="5"/>
        <v>733.82666666666671</v>
      </c>
      <c r="K20" s="43">
        <f t="shared" si="5"/>
        <v>100</v>
      </c>
    </row>
    <row r="21" spans="1:11" x14ac:dyDescent="0.3">
      <c r="F21" s="43"/>
      <c r="K21" s="43"/>
    </row>
    <row r="22" spans="1:11" x14ac:dyDescent="0.3">
      <c r="A22" s="1" t="s">
        <v>207</v>
      </c>
      <c r="B22" s="209" t="s">
        <v>196</v>
      </c>
      <c r="C22" s="209"/>
      <c r="D22" s="209"/>
      <c r="E22" s="207" t="s">
        <v>4</v>
      </c>
      <c r="F22" s="43"/>
      <c r="G22" s="209" t="s">
        <v>196</v>
      </c>
      <c r="H22" s="209"/>
      <c r="I22" s="209"/>
      <c r="J22" s="207" t="s">
        <v>4</v>
      </c>
      <c r="K22" s="43"/>
    </row>
    <row r="23" spans="1:11" x14ac:dyDescent="0.3">
      <c r="B23" t="s">
        <v>147</v>
      </c>
      <c r="C23" t="s">
        <v>8</v>
      </c>
      <c r="D23" t="s">
        <v>9</v>
      </c>
      <c r="E23" s="207"/>
      <c r="F23" s="39" t="s">
        <v>170</v>
      </c>
      <c r="G23" t="s">
        <v>147</v>
      </c>
      <c r="H23" t="s">
        <v>8</v>
      </c>
      <c r="I23" t="s">
        <v>9</v>
      </c>
      <c r="J23" s="207"/>
      <c r="K23" s="39" t="s">
        <v>170</v>
      </c>
    </row>
    <row r="24" spans="1:11" x14ac:dyDescent="0.3">
      <c r="A24" t="s">
        <v>17</v>
      </c>
      <c r="B24" s="9">
        <v>54.76</v>
      </c>
      <c r="C24" s="9">
        <v>85.76</v>
      </c>
      <c r="D24" s="9">
        <v>77.760000000000005</v>
      </c>
      <c r="E24" s="9">
        <f t="shared" ref="E24:E33" si="6">(B24+C24+D24)/3</f>
        <v>72.760000000000005</v>
      </c>
      <c r="F24" s="41">
        <f t="shared" ref="F24:F33" si="7">E24/E$34*100</f>
        <v>95.08463656524394</v>
      </c>
      <c r="G24" s="9">
        <v>189.94</v>
      </c>
      <c r="H24" s="9">
        <v>283.83999999999997</v>
      </c>
      <c r="I24" s="9">
        <v>152.72</v>
      </c>
      <c r="J24" s="9">
        <f t="shared" ref="J24:J33" si="8">(G24+H24+I24)/3</f>
        <v>208.83333333333334</v>
      </c>
      <c r="K24" s="41">
        <f t="shared" ref="K24:K33" si="9">J24/J$34*100</f>
        <v>97.962841982574034</v>
      </c>
    </row>
    <row r="25" spans="1:11" x14ac:dyDescent="0.3">
      <c r="A25" t="s">
        <v>198</v>
      </c>
      <c r="B25" s="9">
        <v>1.7100000000000001E-2</v>
      </c>
      <c r="C25" s="9">
        <v>1.01E-2</v>
      </c>
      <c r="D25" s="9">
        <v>6.1000000000000004E-3</v>
      </c>
      <c r="E25" s="9">
        <f t="shared" si="6"/>
        <v>1.11E-2</v>
      </c>
      <c r="F25" s="41">
        <f t="shared" si="7"/>
        <v>1.4505765061492685E-2</v>
      </c>
      <c r="G25" s="9">
        <v>1.29E-2</v>
      </c>
      <c r="H25" s="9">
        <v>4.9000000000000002E-2</v>
      </c>
      <c r="I25" s="9">
        <v>2.7E-2</v>
      </c>
      <c r="J25" s="9">
        <f t="shared" si="8"/>
        <v>2.9633333333333334E-2</v>
      </c>
      <c r="K25" s="41">
        <f t="shared" si="9"/>
        <v>1.3900872549482574E-2</v>
      </c>
    </row>
    <row r="26" spans="1:11" x14ac:dyDescent="0.3">
      <c r="A26" t="s">
        <v>18</v>
      </c>
      <c r="B26" s="9">
        <v>0.68</v>
      </c>
      <c r="C26" s="9">
        <v>0.99</v>
      </c>
      <c r="D26" s="9">
        <v>0.72</v>
      </c>
      <c r="E26" s="9">
        <f t="shared" si="6"/>
        <v>0.79666666666666652</v>
      </c>
      <c r="F26" s="41">
        <f t="shared" si="7"/>
        <v>1.0411044593683936</v>
      </c>
      <c r="G26" s="9">
        <v>0</v>
      </c>
      <c r="H26" s="9">
        <v>0</v>
      </c>
      <c r="I26" s="9">
        <v>0</v>
      </c>
      <c r="J26" s="9">
        <f t="shared" si="8"/>
        <v>0</v>
      </c>
      <c r="K26" s="41">
        <f t="shared" si="9"/>
        <v>0</v>
      </c>
    </row>
    <row r="27" spans="1:11" x14ac:dyDescent="0.3">
      <c r="A27" t="s">
        <v>200</v>
      </c>
      <c r="B27" s="9">
        <v>2.1000000000000001E-2</v>
      </c>
      <c r="C27" s="9">
        <v>1.4E-2</v>
      </c>
      <c r="D27" s="9">
        <v>8.3999999999999995E-3</v>
      </c>
      <c r="E27" s="9">
        <f t="shared" si="6"/>
        <v>1.4466666666666668E-2</v>
      </c>
      <c r="F27" s="41">
        <f t="shared" si="7"/>
        <v>1.890541152158506E-2</v>
      </c>
      <c r="G27" s="9">
        <v>1.4E-2</v>
      </c>
      <c r="H27" s="9">
        <v>6.4000000000000003E-3</v>
      </c>
      <c r="I27" s="9">
        <v>7.9000000000000008E-3</v>
      </c>
      <c r="J27" s="9">
        <f t="shared" si="8"/>
        <v>9.4333333333333335E-3</v>
      </c>
      <c r="K27" s="41">
        <f t="shared" si="9"/>
        <v>4.4251371557970393E-3</v>
      </c>
    </row>
    <row r="28" spans="1:11" x14ac:dyDescent="0.3">
      <c r="A28" t="s">
        <v>208</v>
      </c>
      <c r="B28" s="9">
        <v>9.1999999999999998E-3</v>
      </c>
      <c r="C28" s="9">
        <v>4.0000000000000001E-3</v>
      </c>
      <c r="D28" s="9">
        <v>2.5999999999999999E-3</v>
      </c>
      <c r="E28" s="9">
        <f t="shared" si="6"/>
        <v>5.2666666666666669E-3</v>
      </c>
      <c r="F28" s="41">
        <f t="shared" si="7"/>
        <v>6.8826152544019335E-3</v>
      </c>
      <c r="G28" s="9">
        <v>0</v>
      </c>
      <c r="H28" s="9">
        <v>0</v>
      </c>
      <c r="I28" s="9">
        <v>0</v>
      </c>
      <c r="J28" s="9">
        <f t="shared" si="8"/>
        <v>0</v>
      </c>
      <c r="K28" s="41">
        <f t="shared" si="9"/>
        <v>0</v>
      </c>
    </row>
    <row r="29" spans="1:11" x14ac:dyDescent="0.3">
      <c r="A29" t="s">
        <v>16</v>
      </c>
      <c r="B29" s="9">
        <v>0.25</v>
      </c>
      <c r="C29" s="9">
        <v>0.72599999999999998</v>
      </c>
      <c r="D29" s="9">
        <v>1.08</v>
      </c>
      <c r="E29" s="9">
        <f t="shared" si="6"/>
        <v>0.68533333333333335</v>
      </c>
      <c r="F29" s="41">
        <f t="shared" si="7"/>
        <v>0.89561120019306173</v>
      </c>
      <c r="G29" s="9">
        <v>1.1870000000000001</v>
      </c>
      <c r="H29" s="9">
        <v>2.1800000000000002</v>
      </c>
      <c r="I29" s="9">
        <v>2.27</v>
      </c>
      <c r="J29" s="9">
        <f t="shared" si="8"/>
        <v>1.8790000000000002</v>
      </c>
      <c r="K29" s="41">
        <f t="shared" si="9"/>
        <v>0.88143102993738209</v>
      </c>
    </row>
    <row r="30" spans="1:11" x14ac:dyDescent="0.3">
      <c r="A30" t="s">
        <v>201</v>
      </c>
      <c r="B30" s="9">
        <v>0.99399999999999999</v>
      </c>
      <c r="C30" s="9">
        <v>0.58899999999999997</v>
      </c>
      <c r="D30" s="9">
        <v>1.089</v>
      </c>
      <c r="E30" s="9">
        <f t="shared" si="6"/>
        <v>0.89066666666666661</v>
      </c>
      <c r="F30" s="41">
        <f t="shared" si="7"/>
        <v>1.1639460734026561</v>
      </c>
      <c r="G30" s="9">
        <v>0.36</v>
      </c>
      <c r="H30" s="9">
        <v>0.66</v>
      </c>
      <c r="I30" s="9">
        <v>0.79200000000000004</v>
      </c>
      <c r="J30" s="9">
        <f t="shared" si="8"/>
        <v>0.60399999999999998</v>
      </c>
      <c r="K30" s="41">
        <f t="shared" si="9"/>
        <v>0.28333387018742884</v>
      </c>
    </row>
    <row r="31" spans="1:11" x14ac:dyDescent="0.3">
      <c r="A31" t="s">
        <v>202</v>
      </c>
      <c r="B31" s="9">
        <v>1.1579999999999999</v>
      </c>
      <c r="C31" s="9">
        <v>1.1579999999999999</v>
      </c>
      <c r="D31" s="9">
        <v>1.1579999999999999</v>
      </c>
      <c r="E31" s="9">
        <f t="shared" si="6"/>
        <v>1.1579999999999999</v>
      </c>
      <c r="F31" s="41">
        <f t="shared" si="7"/>
        <v>1.5133041388476149</v>
      </c>
      <c r="G31" s="9">
        <v>1.26</v>
      </c>
      <c r="H31" s="9">
        <v>1.67</v>
      </c>
      <c r="I31" s="9">
        <v>1.89</v>
      </c>
      <c r="J31" s="9">
        <f t="shared" si="8"/>
        <v>1.6066666666666665</v>
      </c>
      <c r="K31" s="41">
        <f t="shared" si="9"/>
        <v>0.75368060392020242</v>
      </c>
    </row>
    <row r="32" spans="1:11" x14ac:dyDescent="0.3">
      <c r="A32" t="s">
        <v>204</v>
      </c>
      <c r="B32" s="9">
        <v>0.127</v>
      </c>
      <c r="C32" s="9">
        <v>0.214</v>
      </c>
      <c r="D32" s="9">
        <v>8.14E-2</v>
      </c>
      <c r="E32" s="9">
        <f t="shared" si="6"/>
        <v>0.14080000000000001</v>
      </c>
      <c r="F32" s="41">
        <f t="shared" si="7"/>
        <v>0.18400105591515045</v>
      </c>
      <c r="G32" s="9">
        <v>8.5999999999999993E-2</v>
      </c>
      <c r="H32" s="9">
        <v>8.5999999999999993E-2</v>
      </c>
      <c r="I32" s="9">
        <v>8.5999999999999993E-2</v>
      </c>
      <c r="J32" s="9">
        <f t="shared" si="8"/>
        <v>8.6000000000000007E-2</v>
      </c>
      <c r="K32" s="41">
        <f t="shared" si="9"/>
        <v>4.0342239794898808E-2</v>
      </c>
    </row>
    <row r="33" spans="1:11" x14ac:dyDescent="0.3">
      <c r="A33" t="s">
        <v>203</v>
      </c>
      <c r="B33" s="9">
        <v>3.5900000000000001E-2</v>
      </c>
      <c r="C33" s="9">
        <v>9.1999999999999998E-2</v>
      </c>
      <c r="D33" s="9">
        <v>4.9099999999999998E-2</v>
      </c>
      <c r="E33" s="9">
        <f t="shared" si="6"/>
        <v>5.9000000000000004E-2</v>
      </c>
      <c r="F33" s="41">
        <f t="shared" si="7"/>
        <v>7.7102715191717866E-2</v>
      </c>
      <c r="G33" s="9">
        <v>0.21299999999999999</v>
      </c>
      <c r="H33" s="9">
        <v>9.7000000000000003E-2</v>
      </c>
      <c r="I33" s="9">
        <v>7.3999999999999996E-2</v>
      </c>
      <c r="J33" s="9">
        <f t="shared" si="8"/>
        <v>0.128</v>
      </c>
      <c r="K33" s="41">
        <f t="shared" si="9"/>
        <v>6.0044263880779609E-2</v>
      </c>
    </row>
    <row r="34" spans="1:11" x14ac:dyDescent="0.3">
      <c r="A34" t="s">
        <v>205</v>
      </c>
      <c r="B34" s="9">
        <f t="shared" ref="B34:K34" si="10">SUM(B24:B33)</f>
        <v>58.052199999999999</v>
      </c>
      <c r="C34" s="9">
        <f t="shared" si="10"/>
        <v>89.557099999999991</v>
      </c>
      <c r="D34" s="9">
        <f t="shared" si="10"/>
        <v>81.954599999999999</v>
      </c>
      <c r="E34" s="9">
        <f t="shared" si="10"/>
        <v>76.521299999999997</v>
      </c>
      <c r="F34" s="41">
        <f t="shared" si="10"/>
        <v>100</v>
      </c>
      <c r="G34" s="9">
        <f t="shared" si="10"/>
        <v>193.07290000000003</v>
      </c>
      <c r="H34" s="9">
        <f t="shared" si="10"/>
        <v>288.58839999999998</v>
      </c>
      <c r="I34" s="9">
        <f t="shared" si="10"/>
        <v>157.86690000000002</v>
      </c>
      <c r="J34" s="9">
        <f t="shared" si="10"/>
        <v>213.17606666666666</v>
      </c>
      <c r="K34" s="41">
        <f t="shared" si="10"/>
        <v>100.00000000000001</v>
      </c>
    </row>
    <row r="35" spans="1:11" x14ac:dyDescent="0.3">
      <c r="F35" s="43"/>
      <c r="K35" s="43"/>
    </row>
    <row r="36" spans="1:11" x14ac:dyDescent="0.3">
      <c r="A36" s="1" t="s">
        <v>209</v>
      </c>
      <c r="B36" s="209" t="s">
        <v>196</v>
      </c>
      <c r="C36" s="209"/>
      <c r="D36" s="209"/>
      <c r="E36" s="207" t="s">
        <v>4</v>
      </c>
      <c r="F36" s="43"/>
      <c r="G36" s="209" t="s">
        <v>196</v>
      </c>
      <c r="H36" s="209"/>
      <c r="I36" s="209"/>
      <c r="J36" s="207" t="s">
        <v>4</v>
      </c>
      <c r="K36" s="43"/>
    </row>
    <row r="37" spans="1:11" x14ac:dyDescent="0.3">
      <c r="B37" t="s">
        <v>147</v>
      </c>
      <c r="C37" t="s">
        <v>8</v>
      </c>
      <c r="D37" t="s">
        <v>9</v>
      </c>
      <c r="E37" s="207"/>
      <c r="F37" s="39" t="s">
        <v>170</v>
      </c>
      <c r="G37" t="s">
        <v>147</v>
      </c>
      <c r="H37" t="s">
        <v>8</v>
      </c>
      <c r="I37" t="s">
        <v>9</v>
      </c>
      <c r="J37" s="207"/>
      <c r="K37" s="39" t="s">
        <v>170</v>
      </c>
    </row>
    <row r="38" spans="1:11" x14ac:dyDescent="0.3">
      <c r="A38" t="s">
        <v>18</v>
      </c>
      <c r="B38" s="9">
        <v>18.440000000000001</v>
      </c>
      <c r="C38" s="9">
        <v>10.119999999999999</v>
      </c>
      <c r="D38" s="9">
        <v>15.03</v>
      </c>
      <c r="E38" s="9">
        <f t="shared" ref="E38:E47" si="11">(B38+C38+D38)/3</f>
        <v>14.530000000000001</v>
      </c>
      <c r="F38" s="41">
        <f t="shared" ref="F38:F47" si="12">E38/E$48*100</f>
        <v>52.004294917680738</v>
      </c>
      <c r="G38" s="9">
        <v>37.17</v>
      </c>
      <c r="H38" s="9">
        <v>48.35</v>
      </c>
      <c r="I38" s="9">
        <v>62.08</v>
      </c>
      <c r="J38" s="9">
        <f t="shared" ref="J38:J47" si="13">(G38+H38+I38)/3</f>
        <v>49.20000000000001</v>
      </c>
      <c r="K38" s="41">
        <f t="shared" ref="K38:K47" si="14">J38/J$48*100</f>
        <v>24.180785777241891</v>
      </c>
    </row>
    <row r="39" spans="1:11" x14ac:dyDescent="0.3">
      <c r="A39" t="s">
        <v>198</v>
      </c>
      <c r="B39" s="9">
        <v>1.21</v>
      </c>
      <c r="C39" s="9">
        <v>1.71</v>
      </c>
      <c r="D39" s="9">
        <v>0.71</v>
      </c>
      <c r="E39" s="9">
        <f t="shared" si="11"/>
        <v>1.21</v>
      </c>
      <c r="F39" s="41">
        <f t="shared" si="12"/>
        <v>4.3307086614173222</v>
      </c>
      <c r="G39" s="9">
        <v>10.32</v>
      </c>
      <c r="H39" s="9">
        <v>9.77</v>
      </c>
      <c r="I39" s="9">
        <v>5.56</v>
      </c>
      <c r="J39" s="9">
        <f t="shared" si="13"/>
        <v>8.5499999999999989</v>
      </c>
      <c r="K39" s="41">
        <f t="shared" si="14"/>
        <v>4.2021487478743511</v>
      </c>
    </row>
    <row r="40" spans="1:11" x14ac:dyDescent="0.3">
      <c r="A40" t="s">
        <v>202</v>
      </c>
      <c r="B40" s="9">
        <v>2.23</v>
      </c>
      <c r="C40" s="9">
        <v>1.71</v>
      </c>
      <c r="D40" s="9">
        <v>0.98</v>
      </c>
      <c r="E40" s="9">
        <f t="shared" si="11"/>
        <v>1.64</v>
      </c>
      <c r="F40" s="41">
        <f t="shared" si="12"/>
        <v>5.8697208303507509</v>
      </c>
      <c r="G40" s="9">
        <v>1.1299999999999999</v>
      </c>
      <c r="H40" s="9">
        <v>0.61</v>
      </c>
      <c r="I40" s="9">
        <v>2.2200000000000002</v>
      </c>
      <c r="J40" s="9">
        <f t="shared" si="13"/>
        <v>1.32</v>
      </c>
      <c r="K40" s="41">
        <f t="shared" si="14"/>
        <v>0.64875278914551393</v>
      </c>
    </row>
    <row r="41" spans="1:11" x14ac:dyDescent="0.3">
      <c r="A41" t="s">
        <v>16</v>
      </c>
      <c r="B41" s="9">
        <v>2.84</v>
      </c>
      <c r="C41" s="9">
        <v>3.28</v>
      </c>
      <c r="D41" s="9">
        <v>4.47</v>
      </c>
      <c r="E41" s="9">
        <f t="shared" si="11"/>
        <v>3.53</v>
      </c>
      <c r="F41" s="41">
        <f t="shared" si="12"/>
        <v>12.63421617752326</v>
      </c>
      <c r="G41" s="9">
        <v>68.83</v>
      </c>
      <c r="H41" s="9">
        <v>78.942999999999998</v>
      </c>
      <c r="I41" s="9">
        <v>57.89</v>
      </c>
      <c r="J41" s="9">
        <f t="shared" si="13"/>
        <v>68.554333333333332</v>
      </c>
      <c r="K41" s="41">
        <f t="shared" si="14"/>
        <v>33.693041634857032</v>
      </c>
    </row>
    <row r="42" spans="1:11" x14ac:dyDescent="0.3">
      <c r="A42" t="s">
        <v>200</v>
      </c>
      <c r="B42" s="9">
        <v>1.04</v>
      </c>
      <c r="C42" s="9">
        <v>1.89</v>
      </c>
      <c r="D42" s="9">
        <v>1.39</v>
      </c>
      <c r="E42" s="9">
        <f t="shared" si="11"/>
        <v>1.4399999999999997</v>
      </c>
      <c r="F42" s="41">
        <f t="shared" si="12"/>
        <v>5.1539012168933409</v>
      </c>
      <c r="G42" s="9">
        <v>7.23</v>
      </c>
      <c r="H42" s="9">
        <v>9.4179999999999993</v>
      </c>
      <c r="I42" s="9">
        <v>5.41</v>
      </c>
      <c r="J42" s="9">
        <f t="shared" si="13"/>
        <v>7.3526666666666669</v>
      </c>
      <c r="K42" s="41">
        <f t="shared" si="14"/>
        <v>3.613684096710037</v>
      </c>
    </row>
    <row r="43" spans="1:11" x14ac:dyDescent="0.3">
      <c r="A43" t="s">
        <v>203</v>
      </c>
      <c r="B43" s="9">
        <v>1.05</v>
      </c>
      <c r="C43" s="9">
        <v>0.95</v>
      </c>
      <c r="D43" s="9">
        <v>1.75</v>
      </c>
      <c r="E43" s="9">
        <f t="shared" si="11"/>
        <v>1.25</v>
      </c>
      <c r="F43" s="41">
        <f t="shared" si="12"/>
        <v>4.4738725841088041</v>
      </c>
      <c r="G43" s="9">
        <v>57.11</v>
      </c>
      <c r="H43" s="9">
        <v>28.98</v>
      </c>
      <c r="I43" s="9">
        <v>30.31</v>
      </c>
      <c r="J43" s="9">
        <f t="shared" si="13"/>
        <v>38.800000000000004</v>
      </c>
      <c r="K43" s="41">
        <f t="shared" si="14"/>
        <v>19.069400165792384</v>
      </c>
    </row>
    <row r="44" spans="1:11" x14ac:dyDescent="0.3">
      <c r="A44" t="s">
        <v>210</v>
      </c>
      <c r="B44" s="9">
        <v>1.03</v>
      </c>
      <c r="C44" s="9">
        <v>2.14</v>
      </c>
      <c r="D44" s="9">
        <v>1.1200000000000001</v>
      </c>
      <c r="E44" s="9">
        <f t="shared" si="11"/>
        <v>1.43</v>
      </c>
      <c r="F44" s="41">
        <f t="shared" si="12"/>
        <v>5.1181102362204713</v>
      </c>
      <c r="G44" s="9">
        <v>9.14</v>
      </c>
      <c r="H44" s="9">
        <v>6.52</v>
      </c>
      <c r="I44" s="9">
        <v>5.9610000000000003</v>
      </c>
      <c r="J44" s="9">
        <f t="shared" si="13"/>
        <v>7.2070000000000007</v>
      </c>
      <c r="K44" s="41">
        <f t="shared" si="14"/>
        <v>3.5420919328573635</v>
      </c>
    </row>
    <row r="45" spans="1:11" x14ac:dyDescent="0.3">
      <c r="A45" t="s">
        <v>204</v>
      </c>
      <c r="B45" s="9">
        <v>0.28000000000000003</v>
      </c>
      <c r="C45" s="9">
        <v>8.7999999999999995E-2</v>
      </c>
      <c r="D45" s="9">
        <v>0.17199999999999999</v>
      </c>
      <c r="E45" s="9">
        <f t="shared" si="11"/>
        <v>0.18000000000000002</v>
      </c>
      <c r="F45" s="41">
        <f t="shared" si="12"/>
        <v>0.64423765211166784</v>
      </c>
      <c r="G45" s="9">
        <v>1.96</v>
      </c>
      <c r="H45" s="9">
        <v>2.4900000000000002</v>
      </c>
      <c r="I45" s="9">
        <v>0.95</v>
      </c>
      <c r="J45" s="9">
        <f t="shared" si="13"/>
        <v>1.8</v>
      </c>
      <c r="K45" s="41">
        <f t="shared" si="14"/>
        <v>0.8846628942893372</v>
      </c>
    </row>
    <row r="46" spans="1:11" x14ac:dyDescent="0.3">
      <c r="A46" t="s">
        <v>201</v>
      </c>
      <c r="B46" s="9">
        <v>2.4700000000000002</v>
      </c>
      <c r="C46" s="9">
        <v>1.74</v>
      </c>
      <c r="D46" s="9">
        <v>1.91</v>
      </c>
      <c r="E46" s="9">
        <f t="shared" si="11"/>
        <v>2.04</v>
      </c>
      <c r="F46" s="41">
        <f t="shared" si="12"/>
        <v>7.3013600572655681</v>
      </c>
      <c r="G46" s="9">
        <v>22.51</v>
      </c>
      <c r="H46" s="9">
        <v>10.91</v>
      </c>
      <c r="I46" s="9">
        <v>13.78</v>
      </c>
      <c r="J46" s="9">
        <f t="shared" si="13"/>
        <v>15.733333333333334</v>
      </c>
      <c r="K46" s="41">
        <f t="shared" si="14"/>
        <v>7.7326090019364289</v>
      </c>
    </row>
    <row r="47" spans="1:11" x14ac:dyDescent="0.3">
      <c r="A47" t="s">
        <v>211</v>
      </c>
      <c r="B47" s="9">
        <v>0.99</v>
      </c>
      <c r="C47" s="9">
        <v>0.41</v>
      </c>
      <c r="D47" s="9">
        <v>0.67</v>
      </c>
      <c r="E47" s="9">
        <f t="shared" si="11"/>
        <v>0.69</v>
      </c>
      <c r="F47" s="41">
        <f t="shared" si="12"/>
        <v>2.4695776664280595</v>
      </c>
      <c r="G47" s="9">
        <v>5.47</v>
      </c>
      <c r="H47" s="9">
        <v>2.85</v>
      </c>
      <c r="I47" s="9">
        <v>6.53</v>
      </c>
      <c r="J47" s="9">
        <f t="shared" si="13"/>
        <v>4.95</v>
      </c>
      <c r="K47" s="41">
        <f t="shared" si="14"/>
        <v>2.4328229592956774</v>
      </c>
    </row>
    <row r="48" spans="1:11" x14ac:dyDescent="0.3">
      <c r="A48" t="s">
        <v>205</v>
      </c>
      <c r="B48" s="9">
        <f t="shared" ref="B48:K48" si="15">SUM(B38:B47)</f>
        <v>31.580000000000002</v>
      </c>
      <c r="C48" s="9">
        <f t="shared" si="15"/>
        <v>24.038</v>
      </c>
      <c r="D48" s="9">
        <f t="shared" si="15"/>
        <v>28.202000000000002</v>
      </c>
      <c r="E48" s="9">
        <f t="shared" si="15"/>
        <v>27.940000000000005</v>
      </c>
      <c r="F48" s="41">
        <f t="shared" si="15"/>
        <v>100</v>
      </c>
      <c r="G48" s="9">
        <f t="shared" si="15"/>
        <v>220.87</v>
      </c>
      <c r="H48" s="9">
        <f t="shared" si="15"/>
        <v>198.84100000000001</v>
      </c>
      <c r="I48" s="9">
        <f t="shared" si="15"/>
        <v>190.691</v>
      </c>
      <c r="J48" s="9">
        <f t="shared" si="15"/>
        <v>203.46733333333333</v>
      </c>
      <c r="K48" s="9">
        <f t="shared" si="15"/>
        <v>100</v>
      </c>
    </row>
    <row r="49" spans="2:11" x14ac:dyDescent="0.3">
      <c r="B49" s="9"/>
      <c r="C49" s="44"/>
      <c r="D49" s="9"/>
      <c r="E49" s="44"/>
      <c r="J49" s="9"/>
      <c r="K49" s="9"/>
    </row>
    <row r="86" spans="12:12" x14ac:dyDescent="0.3">
      <c r="L86" s="9"/>
    </row>
    <row r="87" spans="12:12" x14ac:dyDescent="0.3">
      <c r="L87" s="9"/>
    </row>
    <row r="88" spans="12:12" x14ac:dyDescent="0.3">
      <c r="L88" s="9"/>
    </row>
    <row r="89" spans="12:12" x14ac:dyDescent="0.3">
      <c r="L89" s="9"/>
    </row>
    <row r="90" spans="12:12" x14ac:dyDescent="0.3">
      <c r="L90" s="9"/>
    </row>
    <row r="91" spans="12:12" x14ac:dyDescent="0.3">
      <c r="L91" s="9"/>
    </row>
    <row r="92" spans="12:12" x14ac:dyDescent="0.3">
      <c r="L92" s="9"/>
    </row>
    <row r="93" spans="12:12" x14ac:dyDescent="0.3">
      <c r="L93" s="9"/>
    </row>
    <row r="94" spans="12:12" x14ac:dyDescent="0.3">
      <c r="L94" s="9"/>
    </row>
  </sheetData>
  <mergeCells count="19">
    <mergeCell ref="A1:K1"/>
    <mergeCell ref="B2:F2"/>
    <mergeCell ref="G2:K2"/>
    <mergeCell ref="B3:D3"/>
    <mergeCell ref="E3:E4"/>
    <mergeCell ref="G3:I3"/>
    <mergeCell ref="J3:J4"/>
    <mergeCell ref="B36:D36"/>
    <mergeCell ref="E36:E37"/>
    <mergeCell ref="G36:I36"/>
    <mergeCell ref="J36:J37"/>
    <mergeCell ref="B17:D17"/>
    <mergeCell ref="E17:E18"/>
    <mergeCell ref="G17:I17"/>
    <mergeCell ref="J17:J18"/>
    <mergeCell ref="B22:D22"/>
    <mergeCell ref="E22:E23"/>
    <mergeCell ref="G22:I22"/>
    <mergeCell ref="J22:J2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5" sqref="G5"/>
    </sheetView>
  </sheetViews>
  <sheetFormatPr defaultRowHeight="14.4" x14ac:dyDescent="0.3"/>
  <cols>
    <col min="1" max="1" width="15.109375" bestFit="1" customWidth="1"/>
    <col min="2" max="2" width="10.88671875" bestFit="1" customWidth="1"/>
    <col min="3" max="4" width="10.44140625" bestFit="1" customWidth="1"/>
    <col min="7" max="7" width="10.88671875" bestFit="1" customWidth="1"/>
    <col min="8" max="9" width="10.44140625" bestFit="1" customWidth="1"/>
  </cols>
  <sheetData>
    <row r="1" spans="1:11" x14ac:dyDescent="0.3">
      <c r="B1" s="9"/>
      <c r="C1" s="44"/>
      <c r="D1" s="9"/>
      <c r="E1" s="44"/>
      <c r="J1" s="9"/>
      <c r="K1" s="9"/>
    </row>
    <row r="2" spans="1:11" x14ac:dyDescent="0.3">
      <c r="A2" s="208" t="s">
        <v>395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</row>
    <row r="3" spans="1:11" x14ac:dyDescent="0.3">
      <c r="B3" s="229" t="s">
        <v>12</v>
      </c>
      <c r="C3" s="229"/>
      <c r="D3" s="229"/>
      <c r="E3" s="229"/>
      <c r="F3" s="229"/>
      <c r="G3" s="229" t="s">
        <v>13</v>
      </c>
      <c r="H3" s="229"/>
      <c r="I3" s="229"/>
      <c r="J3" s="229"/>
      <c r="K3" s="229"/>
    </row>
    <row r="4" spans="1:11" x14ac:dyDescent="0.3">
      <c r="A4" s="1" t="s">
        <v>195</v>
      </c>
      <c r="B4" s="222" t="s">
        <v>3</v>
      </c>
      <c r="C4" s="222"/>
      <c r="D4" s="222"/>
      <c r="E4" s="223" t="s">
        <v>4</v>
      </c>
      <c r="F4" s="41"/>
      <c r="G4" s="222" t="s">
        <v>3</v>
      </c>
      <c r="H4" s="222"/>
      <c r="I4" s="222"/>
      <c r="J4" s="223" t="s">
        <v>4</v>
      </c>
      <c r="K4" s="41"/>
    </row>
    <row r="5" spans="1:11" x14ac:dyDescent="0.3">
      <c r="A5" s="1"/>
      <c r="B5" s="25" t="s">
        <v>147</v>
      </c>
      <c r="C5" s="25" t="s">
        <v>8</v>
      </c>
      <c r="D5" s="25" t="s">
        <v>9</v>
      </c>
      <c r="E5" s="223"/>
      <c r="F5" s="45" t="s">
        <v>170</v>
      </c>
      <c r="G5" s="25" t="s">
        <v>147</v>
      </c>
      <c r="H5" s="25" t="s">
        <v>8</v>
      </c>
      <c r="I5" s="25" t="s">
        <v>9</v>
      </c>
      <c r="J5" s="223"/>
      <c r="K5" s="45" t="s">
        <v>170</v>
      </c>
    </row>
    <row r="6" spans="1:11" x14ac:dyDescent="0.3">
      <c r="A6" t="s">
        <v>197</v>
      </c>
      <c r="B6">
        <v>18.309999999999999</v>
      </c>
      <c r="C6">
        <v>24.31</v>
      </c>
      <c r="D6">
        <v>19.14</v>
      </c>
      <c r="E6" s="9">
        <f t="shared" ref="E6:E14" si="0">(B6+C6+D6)/3</f>
        <v>20.586666666666666</v>
      </c>
      <c r="F6" s="41">
        <f t="shared" ref="F6:F14" si="1">E6/E$15*100</f>
        <v>77.728554168344758</v>
      </c>
      <c r="G6">
        <v>23.71</v>
      </c>
      <c r="H6">
        <v>36.01</v>
      </c>
      <c r="I6">
        <v>32.24</v>
      </c>
      <c r="J6" s="9">
        <f t="shared" ref="J6:J14" si="2">(G6+H6+I6)/3</f>
        <v>30.653333333333336</v>
      </c>
      <c r="K6" s="41">
        <f t="shared" ref="K6:K14" si="3">J6/J$15*100</f>
        <v>76.163657445751198</v>
      </c>
    </row>
    <row r="7" spans="1:11" x14ac:dyDescent="0.3">
      <c r="A7" t="s">
        <v>198</v>
      </c>
      <c r="B7" s="9">
        <v>3.31</v>
      </c>
      <c r="C7" s="9">
        <v>2.04</v>
      </c>
      <c r="D7" s="9">
        <v>1.68</v>
      </c>
      <c r="E7" s="9">
        <f t="shared" si="0"/>
        <v>2.3433333333333333</v>
      </c>
      <c r="F7" s="41">
        <f t="shared" si="1"/>
        <v>8.8476641159887244</v>
      </c>
      <c r="G7" s="9">
        <v>3.82</v>
      </c>
      <c r="H7" s="9">
        <v>4.72</v>
      </c>
      <c r="I7" s="9">
        <v>2.91</v>
      </c>
      <c r="J7" s="9">
        <f t="shared" si="2"/>
        <v>3.8166666666666664</v>
      </c>
      <c r="K7" s="41">
        <f t="shared" si="3"/>
        <v>9.4831870134172593</v>
      </c>
    </row>
    <row r="8" spans="1:11" x14ac:dyDescent="0.3">
      <c r="A8" t="s">
        <v>199</v>
      </c>
      <c r="B8" s="9">
        <v>1.85</v>
      </c>
      <c r="C8" s="9">
        <v>1.76</v>
      </c>
      <c r="D8" s="9">
        <v>2.52</v>
      </c>
      <c r="E8" s="9">
        <f t="shared" si="0"/>
        <v>2.0433333333333334</v>
      </c>
      <c r="F8" s="41">
        <f t="shared" si="1"/>
        <v>7.7149617398308514</v>
      </c>
      <c r="G8" s="9">
        <v>3.23</v>
      </c>
      <c r="H8" s="9">
        <v>5.39</v>
      </c>
      <c r="I8" s="9">
        <v>2.5</v>
      </c>
      <c r="J8" s="9">
        <f t="shared" si="2"/>
        <v>3.7066666666666666</v>
      </c>
      <c r="K8" s="41">
        <f t="shared" si="3"/>
        <v>9.2098724532052341</v>
      </c>
    </row>
    <row r="9" spans="1:11" x14ac:dyDescent="0.3">
      <c r="A9" t="s">
        <v>200</v>
      </c>
      <c r="B9" s="9">
        <v>0.65</v>
      </c>
      <c r="C9" s="9">
        <v>0.52</v>
      </c>
      <c r="D9" s="9">
        <v>0.3</v>
      </c>
      <c r="E9" s="9">
        <f t="shared" si="0"/>
        <v>0.49</v>
      </c>
      <c r="F9" s="41">
        <f t="shared" si="1"/>
        <v>1.850080547724527</v>
      </c>
      <c r="G9" s="9">
        <v>0.48</v>
      </c>
      <c r="H9" s="9">
        <v>0.2</v>
      </c>
      <c r="I9" s="9">
        <v>0.13</v>
      </c>
      <c r="J9" s="9">
        <f t="shared" si="2"/>
        <v>0.26999999999999996</v>
      </c>
      <c r="K9" s="41">
        <f t="shared" si="3"/>
        <v>0.67086301142951787</v>
      </c>
    </row>
    <row r="10" spans="1:11" x14ac:dyDescent="0.3">
      <c r="A10" t="s">
        <v>201</v>
      </c>
      <c r="B10" s="9">
        <v>0.27</v>
      </c>
      <c r="C10" s="9">
        <v>0.38</v>
      </c>
      <c r="D10" s="9">
        <v>0.11</v>
      </c>
      <c r="E10" s="9">
        <f t="shared" si="0"/>
        <v>0.25333333333333335</v>
      </c>
      <c r="F10" s="41">
        <f t="shared" si="1"/>
        <v>0.95650422875553787</v>
      </c>
      <c r="G10" s="9">
        <v>0.31</v>
      </c>
      <c r="H10" s="9">
        <v>0.64</v>
      </c>
      <c r="I10" s="9">
        <v>0.39</v>
      </c>
      <c r="J10" s="9">
        <f t="shared" si="2"/>
        <v>0.4466666666666666</v>
      </c>
      <c r="K10" s="41">
        <f t="shared" si="3"/>
        <v>1.1098227596488319</v>
      </c>
    </row>
    <row r="11" spans="1:11" x14ac:dyDescent="0.3">
      <c r="A11" t="s">
        <v>17</v>
      </c>
      <c r="B11" s="9">
        <v>0.22</v>
      </c>
      <c r="C11" s="9">
        <v>0.18</v>
      </c>
      <c r="D11" s="9">
        <v>0.34</v>
      </c>
      <c r="E11" s="9">
        <f t="shared" si="0"/>
        <v>0.24666666666666667</v>
      </c>
      <c r="F11" s="41">
        <f t="shared" si="1"/>
        <v>0.93133306484091838</v>
      </c>
      <c r="G11" s="9">
        <v>0.31</v>
      </c>
      <c r="H11" s="9">
        <v>0.5</v>
      </c>
      <c r="I11" s="9">
        <v>0.24</v>
      </c>
      <c r="J11" s="9">
        <f t="shared" si="2"/>
        <v>0.35000000000000003</v>
      </c>
      <c r="K11" s="41">
        <f t="shared" si="3"/>
        <v>0.86963723703826401</v>
      </c>
    </row>
    <row r="12" spans="1:11" x14ac:dyDescent="0.3">
      <c r="A12" t="s">
        <v>202</v>
      </c>
      <c r="B12" s="9">
        <v>0.23</v>
      </c>
      <c r="C12" s="9">
        <v>0.37</v>
      </c>
      <c r="D12" s="9">
        <v>7.0000000000000007E-2</v>
      </c>
      <c r="E12" s="9">
        <f t="shared" si="0"/>
        <v>0.2233333333333333</v>
      </c>
      <c r="F12" s="41">
        <f t="shared" si="1"/>
        <v>0.84323399113975028</v>
      </c>
      <c r="G12" s="9">
        <v>0.35</v>
      </c>
      <c r="H12" s="9">
        <v>0.55000000000000004</v>
      </c>
      <c r="I12" s="9">
        <v>0.17</v>
      </c>
      <c r="J12" s="9">
        <f t="shared" si="2"/>
        <v>0.35666666666666669</v>
      </c>
      <c r="K12" s="41">
        <f t="shared" si="3"/>
        <v>0.88620175583899274</v>
      </c>
    </row>
    <row r="13" spans="1:11" x14ac:dyDescent="0.3">
      <c r="A13" t="s">
        <v>203</v>
      </c>
      <c r="B13" s="9">
        <v>0.15</v>
      </c>
      <c r="C13" s="9">
        <v>0.26</v>
      </c>
      <c r="D13" s="9">
        <v>0.17</v>
      </c>
      <c r="E13" s="9">
        <f t="shared" si="0"/>
        <v>0.19333333333333336</v>
      </c>
      <c r="F13" s="41">
        <f t="shared" si="1"/>
        <v>0.72996375352396314</v>
      </c>
      <c r="G13" s="9">
        <v>0.47</v>
      </c>
      <c r="H13" s="9">
        <v>0.71</v>
      </c>
      <c r="I13" s="9">
        <v>0.23</v>
      </c>
      <c r="J13" s="9">
        <f t="shared" si="2"/>
        <v>0.47</v>
      </c>
      <c r="K13" s="41">
        <f t="shared" si="3"/>
        <v>1.1677985754513831</v>
      </c>
    </row>
    <row r="14" spans="1:11" x14ac:dyDescent="0.3">
      <c r="A14" t="s">
        <v>204</v>
      </c>
      <c r="B14" s="9">
        <v>5.6000000000000001E-2</v>
      </c>
      <c r="C14" s="9">
        <v>0.15</v>
      </c>
      <c r="D14" s="9">
        <v>0.11</v>
      </c>
      <c r="E14" s="9">
        <f t="shared" si="0"/>
        <v>0.10533333333333333</v>
      </c>
      <c r="F14" s="41">
        <f t="shared" si="1"/>
        <v>0.39770438985098677</v>
      </c>
      <c r="G14" s="9">
        <v>0.18</v>
      </c>
      <c r="H14" s="9">
        <v>0.1</v>
      </c>
      <c r="I14" s="9">
        <v>0.25</v>
      </c>
      <c r="J14" s="9">
        <f t="shared" si="2"/>
        <v>0.17666666666666667</v>
      </c>
      <c r="K14" s="41">
        <f t="shared" si="3"/>
        <v>0.43895974821931416</v>
      </c>
    </row>
    <row r="15" spans="1:11" x14ac:dyDescent="0.3">
      <c r="A15" t="s">
        <v>205</v>
      </c>
      <c r="B15" s="9">
        <f t="shared" ref="B15:K15" si="4">SUM(B6:B14)</f>
        <v>25.045999999999996</v>
      </c>
      <c r="C15" s="9">
        <f t="shared" si="4"/>
        <v>29.97</v>
      </c>
      <c r="D15" s="9">
        <f t="shared" si="4"/>
        <v>24.44</v>
      </c>
      <c r="E15" s="9">
        <f t="shared" si="4"/>
        <v>26.48533333333333</v>
      </c>
      <c r="F15" s="41">
        <f t="shared" si="4"/>
        <v>100.00000000000001</v>
      </c>
      <c r="G15" s="9">
        <f t="shared" si="4"/>
        <v>32.86</v>
      </c>
      <c r="H15" s="9">
        <f t="shared" si="4"/>
        <v>48.82</v>
      </c>
      <c r="I15" s="9">
        <f t="shared" si="4"/>
        <v>39.060000000000009</v>
      </c>
      <c r="J15" s="9">
        <f t="shared" si="4"/>
        <v>40.24666666666667</v>
      </c>
      <c r="K15" s="41">
        <f t="shared" si="4"/>
        <v>100.00000000000001</v>
      </c>
    </row>
    <row r="16" spans="1:11" x14ac:dyDescent="0.3">
      <c r="B16" s="9"/>
      <c r="C16" s="9"/>
      <c r="D16" s="9"/>
      <c r="E16" s="9"/>
      <c r="F16" s="41"/>
      <c r="G16" s="9"/>
      <c r="H16" s="9"/>
      <c r="I16" s="9"/>
      <c r="J16" s="9"/>
      <c r="K16" s="41"/>
    </row>
    <row r="17" spans="1:11" x14ac:dyDescent="0.3">
      <c r="A17" s="1" t="s">
        <v>206</v>
      </c>
      <c r="B17" s="222" t="s">
        <v>3</v>
      </c>
      <c r="C17" s="222"/>
      <c r="D17" s="222"/>
      <c r="E17" s="223" t="s">
        <v>4</v>
      </c>
      <c r="F17" s="41"/>
      <c r="G17" s="222" t="s">
        <v>3</v>
      </c>
      <c r="H17" s="222"/>
      <c r="I17" s="222"/>
      <c r="J17" s="223" t="s">
        <v>4</v>
      </c>
      <c r="K17" s="41"/>
    </row>
    <row r="18" spans="1:11" x14ac:dyDescent="0.3">
      <c r="A18" s="1"/>
      <c r="B18" s="25" t="s">
        <v>147</v>
      </c>
      <c r="C18" s="25" t="s">
        <v>8</v>
      </c>
      <c r="D18" s="25" t="s">
        <v>9</v>
      </c>
      <c r="E18" s="223"/>
      <c r="F18" s="45" t="s">
        <v>170</v>
      </c>
      <c r="G18" s="25" t="s">
        <v>147</v>
      </c>
      <c r="H18" s="25" t="s">
        <v>8</v>
      </c>
      <c r="I18" s="25" t="s">
        <v>9</v>
      </c>
      <c r="J18" s="223"/>
      <c r="K18" s="45" t="s">
        <v>170</v>
      </c>
    </row>
    <row r="19" spans="1:11" x14ac:dyDescent="0.3">
      <c r="A19" t="s">
        <v>16</v>
      </c>
      <c r="B19">
        <v>24.36</v>
      </c>
      <c r="C19">
        <v>28.13</v>
      </c>
      <c r="D19">
        <v>31.44</v>
      </c>
      <c r="E19" s="9">
        <f>(B19+C19+D19)/3</f>
        <v>27.976666666666663</v>
      </c>
      <c r="F19" s="41">
        <f>E19/E20*100</f>
        <v>100</v>
      </c>
      <c r="G19" s="9">
        <v>53.314199999999992</v>
      </c>
      <c r="H19" s="9">
        <v>73.912500000000009</v>
      </c>
      <c r="I19" s="9">
        <v>66.695400000000006</v>
      </c>
      <c r="J19" s="9">
        <f>(G19+H19+I19)/3</f>
        <v>64.640699999999995</v>
      </c>
      <c r="K19" s="41">
        <f>J19/J20*100</f>
        <v>100</v>
      </c>
    </row>
    <row r="20" spans="1:11" x14ac:dyDescent="0.3">
      <c r="A20" t="s">
        <v>205</v>
      </c>
      <c r="B20" s="9">
        <f t="shared" ref="B20:K20" si="5">SUM(B19)</f>
        <v>24.36</v>
      </c>
      <c r="C20" s="9">
        <f t="shared" si="5"/>
        <v>28.13</v>
      </c>
      <c r="D20" s="9">
        <f t="shared" si="5"/>
        <v>31.44</v>
      </c>
      <c r="E20" s="9">
        <f t="shared" si="5"/>
        <v>27.976666666666663</v>
      </c>
      <c r="F20" s="41">
        <f t="shared" si="5"/>
        <v>100</v>
      </c>
      <c r="G20" s="9">
        <f t="shared" si="5"/>
        <v>53.314199999999992</v>
      </c>
      <c r="H20" s="9">
        <f t="shared" si="5"/>
        <v>73.912500000000009</v>
      </c>
      <c r="I20" s="9">
        <f t="shared" si="5"/>
        <v>66.695400000000006</v>
      </c>
      <c r="J20" s="9">
        <f t="shared" si="5"/>
        <v>64.640699999999995</v>
      </c>
      <c r="K20" s="41">
        <f t="shared" si="5"/>
        <v>100</v>
      </c>
    </row>
    <row r="21" spans="1:11" x14ac:dyDescent="0.3">
      <c r="B21" s="9"/>
      <c r="C21" s="9"/>
      <c r="D21" s="9"/>
      <c r="E21" s="9"/>
      <c r="F21" s="41"/>
      <c r="G21" s="9"/>
      <c r="H21" s="9"/>
      <c r="I21" s="9"/>
      <c r="J21" s="9"/>
      <c r="K21" s="41"/>
    </row>
    <row r="22" spans="1:11" x14ac:dyDescent="0.3">
      <c r="A22" s="1" t="s">
        <v>207</v>
      </c>
      <c r="B22" s="222" t="s">
        <v>3</v>
      </c>
      <c r="C22" s="222"/>
      <c r="D22" s="222"/>
      <c r="E22" s="223" t="s">
        <v>4</v>
      </c>
      <c r="F22" s="41"/>
      <c r="G22" s="222" t="s">
        <v>3</v>
      </c>
      <c r="H22" s="222"/>
      <c r="I22" s="222"/>
      <c r="J22" s="223" t="s">
        <v>4</v>
      </c>
      <c r="K22" s="41"/>
    </row>
    <row r="23" spans="1:11" x14ac:dyDescent="0.3">
      <c r="A23" s="1"/>
      <c r="B23" s="25" t="s">
        <v>147</v>
      </c>
      <c r="C23" s="25" t="s">
        <v>8</v>
      </c>
      <c r="D23" s="25" t="s">
        <v>9</v>
      </c>
      <c r="E23" s="223"/>
      <c r="F23" s="45" t="s">
        <v>170</v>
      </c>
      <c r="G23" s="25" t="s">
        <v>147</v>
      </c>
      <c r="H23" s="25" t="s">
        <v>8</v>
      </c>
      <c r="I23" s="25" t="s">
        <v>9</v>
      </c>
      <c r="J23" s="223"/>
      <c r="K23" s="45" t="s">
        <v>170</v>
      </c>
    </row>
    <row r="24" spans="1:11" x14ac:dyDescent="0.3">
      <c r="A24" t="s">
        <v>17</v>
      </c>
      <c r="B24" s="9">
        <v>10.175000000000001</v>
      </c>
      <c r="C24" s="9">
        <v>14.218</v>
      </c>
      <c r="D24" s="9">
        <v>17.119</v>
      </c>
      <c r="E24" s="9">
        <f t="shared" ref="E24:E32" si="6">(B24+C24+D24)/3</f>
        <v>13.837333333333333</v>
      </c>
      <c r="F24" s="41">
        <f t="shared" ref="F24:F32" si="7">E24/E$33*100</f>
        <v>78.290553156177509</v>
      </c>
      <c r="G24">
        <v>12.54</v>
      </c>
      <c r="H24">
        <v>24.82</v>
      </c>
      <c r="I24">
        <v>21.61</v>
      </c>
      <c r="J24" s="9">
        <f t="shared" ref="J24:J32" si="8">(G24+H24+I24)/3</f>
        <v>19.656666666666666</v>
      </c>
      <c r="K24" s="41">
        <f t="shared" ref="K24:K32" si="9">J24/J$33*100</f>
        <v>77.277909551953243</v>
      </c>
    </row>
    <row r="25" spans="1:11" x14ac:dyDescent="0.3">
      <c r="A25" t="s">
        <v>199</v>
      </c>
      <c r="B25" s="9">
        <v>9.6250000000000002E-2</v>
      </c>
      <c r="C25" s="9">
        <v>1.6E-2</v>
      </c>
      <c r="D25" s="9">
        <v>0.16499999999999998</v>
      </c>
      <c r="E25" s="9">
        <f t="shared" si="6"/>
        <v>9.2416666666666661E-2</v>
      </c>
      <c r="F25" s="41">
        <f t="shared" si="7"/>
        <v>0.52288629462685998</v>
      </c>
      <c r="G25">
        <v>7.0000000000000007E-2</v>
      </c>
      <c r="H25" s="9">
        <v>0.11</v>
      </c>
      <c r="I25" s="9">
        <v>0.25</v>
      </c>
      <c r="J25" s="9">
        <f t="shared" si="8"/>
        <v>0.14333333333333334</v>
      </c>
      <c r="K25" s="41">
        <f t="shared" si="9"/>
        <v>0.56349840778938265</v>
      </c>
    </row>
    <row r="26" spans="1:11" x14ac:dyDescent="0.3">
      <c r="A26" t="s">
        <v>200</v>
      </c>
      <c r="B26" s="9">
        <v>0.16499999999999998</v>
      </c>
      <c r="C26" s="9">
        <v>0.33400000000000002</v>
      </c>
      <c r="D26" s="9">
        <v>6.0500000000000007E-3</v>
      </c>
      <c r="E26" s="9">
        <f t="shared" si="6"/>
        <v>0.16835</v>
      </c>
      <c r="F26" s="41">
        <f t="shared" si="7"/>
        <v>0.95251117439601685</v>
      </c>
      <c r="G26">
        <v>0.16</v>
      </c>
      <c r="H26" s="9">
        <v>0.1</v>
      </c>
      <c r="I26" s="9">
        <v>0.15</v>
      </c>
      <c r="J26" s="9">
        <f t="shared" si="8"/>
        <v>0.13666666666666669</v>
      </c>
      <c r="K26" s="41">
        <f t="shared" si="9"/>
        <v>0.53728917952010913</v>
      </c>
    </row>
    <row r="27" spans="1:11" x14ac:dyDescent="0.3">
      <c r="A27" t="s">
        <v>208</v>
      </c>
      <c r="B27" s="9">
        <v>0.11</v>
      </c>
      <c r="C27" s="9">
        <v>0.193</v>
      </c>
      <c r="D27" s="9">
        <v>7.0099999999999996E-2</v>
      </c>
      <c r="E27" s="9">
        <f t="shared" si="6"/>
        <v>0.12436666666666667</v>
      </c>
      <c r="F27" s="41">
        <f t="shared" si="7"/>
        <v>0.70365690360786826</v>
      </c>
      <c r="G27">
        <v>0.28999999999999998</v>
      </c>
      <c r="H27" s="9">
        <v>0.08</v>
      </c>
      <c r="I27" s="9">
        <v>0.11</v>
      </c>
      <c r="J27" s="9">
        <f t="shared" si="8"/>
        <v>0.16</v>
      </c>
      <c r="K27" s="41">
        <f t="shared" si="9"/>
        <v>0.62902147846256673</v>
      </c>
    </row>
    <row r="28" spans="1:11" x14ac:dyDescent="0.3">
      <c r="A28" t="s">
        <v>16</v>
      </c>
      <c r="B28" s="9">
        <v>0.27500000000000002</v>
      </c>
      <c r="C28" s="9">
        <v>0.46700000000000003</v>
      </c>
      <c r="D28" s="9">
        <v>0.114</v>
      </c>
      <c r="E28" s="9">
        <f t="shared" si="6"/>
        <v>0.28533333333333333</v>
      </c>
      <c r="F28" s="41">
        <f t="shared" si="7"/>
        <v>1.6143937536540747</v>
      </c>
      <c r="G28" s="9">
        <v>0.7</v>
      </c>
      <c r="H28" s="9">
        <v>0.4</v>
      </c>
      <c r="I28" s="9">
        <v>0.42</v>
      </c>
      <c r="J28" s="9">
        <f t="shared" si="8"/>
        <v>0.50666666666666671</v>
      </c>
      <c r="K28" s="41">
        <f t="shared" si="9"/>
        <v>1.9919013484647947</v>
      </c>
    </row>
    <row r="29" spans="1:11" x14ac:dyDescent="0.3">
      <c r="A29" t="s">
        <v>201</v>
      </c>
      <c r="B29" s="9">
        <v>2.3649999999999998</v>
      </c>
      <c r="C29" s="9">
        <v>3.1629999999999998</v>
      </c>
      <c r="D29" s="9">
        <v>1.609</v>
      </c>
      <c r="E29" s="9">
        <f t="shared" si="6"/>
        <v>2.379</v>
      </c>
      <c r="F29" s="41">
        <f t="shared" si="7"/>
        <v>13.460196518491976</v>
      </c>
      <c r="G29">
        <v>4.7699999999999996</v>
      </c>
      <c r="H29" s="9">
        <v>2.5</v>
      </c>
      <c r="I29" s="9">
        <v>2.78</v>
      </c>
      <c r="J29" s="9">
        <f t="shared" si="8"/>
        <v>3.3499999999999996</v>
      </c>
      <c r="K29" s="41">
        <f t="shared" si="9"/>
        <v>13.170137205309986</v>
      </c>
    </row>
    <row r="30" spans="1:11" x14ac:dyDescent="0.3">
      <c r="A30" t="s">
        <v>212</v>
      </c>
      <c r="B30" s="9">
        <v>0.30299999999999999</v>
      </c>
      <c r="C30" s="9">
        <v>0.124</v>
      </c>
      <c r="D30" s="9">
        <v>0.16499999999999998</v>
      </c>
      <c r="E30" s="9">
        <f t="shared" si="6"/>
        <v>0.19733333333333333</v>
      </c>
      <c r="F30" s="41">
        <f t="shared" si="7"/>
        <v>1.1164966146766497</v>
      </c>
      <c r="G30">
        <v>0.37</v>
      </c>
      <c r="H30" s="9">
        <v>0.47</v>
      </c>
      <c r="I30" s="9">
        <v>0.16</v>
      </c>
      <c r="J30" s="9">
        <f t="shared" si="8"/>
        <v>0.33333333333333331</v>
      </c>
      <c r="K30" s="41">
        <f t="shared" si="9"/>
        <v>1.3104614134636805</v>
      </c>
    </row>
    <row r="31" spans="1:11" x14ac:dyDescent="0.3">
      <c r="A31" t="s">
        <v>204</v>
      </c>
      <c r="B31" s="9">
        <v>0.59099999999999997</v>
      </c>
      <c r="C31" s="9">
        <v>0.77</v>
      </c>
      <c r="D31" s="9">
        <v>0.38500000000000001</v>
      </c>
      <c r="E31" s="9">
        <f t="shared" si="6"/>
        <v>0.58199999999999996</v>
      </c>
      <c r="F31" s="41">
        <f t="shared" si="7"/>
        <v>3.2929106236916055</v>
      </c>
      <c r="G31">
        <v>0.99</v>
      </c>
      <c r="H31" s="9">
        <v>0.73</v>
      </c>
      <c r="I31" s="9">
        <v>1.69</v>
      </c>
      <c r="J31" s="9">
        <f t="shared" si="8"/>
        <v>1.1366666666666667</v>
      </c>
      <c r="K31" s="41">
        <f t="shared" si="9"/>
        <v>4.4686734199111511</v>
      </c>
    </row>
    <row r="32" spans="1:11" x14ac:dyDescent="0.3">
      <c r="A32" t="s">
        <v>203</v>
      </c>
      <c r="B32" s="5">
        <v>6.0000000000000001E-3</v>
      </c>
      <c r="C32" s="9">
        <v>8.0000000000000002E-3</v>
      </c>
      <c r="D32" s="9">
        <v>1.06E-2</v>
      </c>
      <c r="E32" s="9">
        <f t="shared" si="6"/>
        <v>8.2000000000000007E-3</v>
      </c>
      <c r="F32" s="41">
        <f t="shared" si="7"/>
        <v>4.6394960677441872E-2</v>
      </c>
      <c r="G32" s="9">
        <v>0.03</v>
      </c>
      <c r="H32" s="9">
        <v>7.0000000000000001E-3</v>
      </c>
      <c r="I32" s="5">
        <v>2E-3</v>
      </c>
      <c r="J32" s="9">
        <f t="shared" si="8"/>
        <v>1.2999999999999999E-2</v>
      </c>
      <c r="K32" s="41">
        <f t="shared" si="9"/>
        <v>5.1107995125083537E-2</v>
      </c>
    </row>
    <row r="33" spans="1:11" x14ac:dyDescent="0.3">
      <c r="A33" t="s">
        <v>205</v>
      </c>
      <c r="B33" s="9">
        <f t="shared" ref="B33:K33" si="10">SUM(B24:B32)</f>
        <v>14.08625</v>
      </c>
      <c r="C33" s="9">
        <f t="shared" si="10"/>
        <v>19.292999999999996</v>
      </c>
      <c r="D33" s="9">
        <f t="shared" si="10"/>
        <v>19.643749999999997</v>
      </c>
      <c r="E33" s="9">
        <f t="shared" si="10"/>
        <v>17.674333333333333</v>
      </c>
      <c r="F33" s="41">
        <f t="shared" si="10"/>
        <v>100</v>
      </c>
      <c r="G33" s="9">
        <f t="shared" si="10"/>
        <v>19.919999999999998</v>
      </c>
      <c r="H33" s="9">
        <f t="shared" si="10"/>
        <v>29.216999999999999</v>
      </c>
      <c r="I33" s="9">
        <f t="shared" si="10"/>
        <v>27.172000000000001</v>
      </c>
      <c r="J33" s="9">
        <f t="shared" si="10"/>
        <v>25.436333333333334</v>
      </c>
      <c r="K33" s="41">
        <f t="shared" si="10"/>
        <v>100</v>
      </c>
    </row>
    <row r="34" spans="1:11" x14ac:dyDescent="0.3">
      <c r="B34" s="9"/>
      <c r="C34" s="9"/>
      <c r="D34" s="9"/>
      <c r="E34" s="9"/>
      <c r="F34" s="41"/>
      <c r="G34" s="9"/>
      <c r="H34" s="9"/>
      <c r="I34" s="9"/>
      <c r="J34" s="9"/>
      <c r="K34" s="41"/>
    </row>
    <row r="35" spans="1:11" x14ac:dyDescent="0.3">
      <c r="A35" s="1" t="s">
        <v>209</v>
      </c>
      <c r="B35" s="222" t="s">
        <v>3</v>
      </c>
      <c r="C35" s="222"/>
      <c r="D35" s="222"/>
      <c r="E35" s="223" t="s">
        <v>4</v>
      </c>
      <c r="F35" s="41"/>
      <c r="G35" s="222" t="s">
        <v>3</v>
      </c>
      <c r="H35" s="222"/>
      <c r="I35" s="222"/>
      <c r="J35" s="223" t="s">
        <v>4</v>
      </c>
      <c r="K35" s="41"/>
    </row>
    <row r="36" spans="1:11" x14ac:dyDescent="0.3">
      <c r="A36" s="1"/>
      <c r="B36" s="25" t="s">
        <v>147</v>
      </c>
      <c r="C36" s="25" t="s">
        <v>8</v>
      </c>
      <c r="D36" s="25" t="s">
        <v>9</v>
      </c>
      <c r="E36" s="223"/>
      <c r="F36" s="45" t="s">
        <v>170</v>
      </c>
      <c r="G36" s="25" t="s">
        <v>147</v>
      </c>
      <c r="H36" s="25" t="s">
        <v>8</v>
      </c>
      <c r="I36" s="25" t="s">
        <v>9</v>
      </c>
      <c r="J36" s="223"/>
      <c r="K36" s="45" t="s">
        <v>170</v>
      </c>
    </row>
    <row r="37" spans="1:11" x14ac:dyDescent="0.3">
      <c r="A37" t="s">
        <v>18</v>
      </c>
      <c r="B37" s="9">
        <v>0.74</v>
      </c>
      <c r="C37" s="9">
        <v>0.6774887892376682</v>
      </c>
      <c r="D37" s="9">
        <v>0.75372197309417033</v>
      </c>
      <c r="E37" s="9">
        <f t="shared" ref="E37:E45" si="11">(B37+C37+D37)/3</f>
        <v>0.72373692077727947</v>
      </c>
      <c r="F37" s="41">
        <f t="shared" ref="F37:F45" si="12">E37/E$46*100</f>
        <v>48.196776794513191</v>
      </c>
      <c r="G37" s="9">
        <v>0.84</v>
      </c>
      <c r="H37" s="9">
        <v>1.02</v>
      </c>
      <c r="I37" s="9">
        <v>0.71</v>
      </c>
      <c r="J37" s="9">
        <f t="shared" ref="J37:J45" si="13">(G37+H37+I37)/3</f>
        <v>0.85666666666666658</v>
      </c>
      <c r="K37" s="41">
        <f t="shared" ref="K37:K45" si="14">J37/J$46*100</f>
        <v>33.860342555994727</v>
      </c>
    </row>
    <row r="38" spans="1:11" x14ac:dyDescent="0.3">
      <c r="A38" t="s">
        <v>202</v>
      </c>
      <c r="B38" s="9">
        <v>0.1</v>
      </c>
      <c r="C38" s="9">
        <v>9.5605381165919281E-2</v>
      </c>
      <c r="D38" s="9">
        <v>6.9955156950672642E-2</v>
      </c>
      <c r="E38" s="9">
        <f t="shared" si="11"/>
        <v>8.8520179372197319E-2</v>
      </c>
      <c r="F38" s="41">
        <f t="shared" si="12"/>
        <v>5.8949422152320867</v>
      </c>
      <c r="G38" s="9">
        <v>0.1</v>
      </c>
      <c r="H38" s="9">
        <v>0.24</v>
      </c>
      <c r="I38" s="9">
        <v>0.11</v>
      </c>
      <c r="J38" s="9">
        <f t="shared" si="13"/>
        <v>0.15</v>
      </c>
      <c r="K38" s="41">
        <f t="shared" si="14"/>
        <v>5.9288537549407119</v>
      </c>
    </row>
    <row r="39" spans="1:11" x14ac:dyDescent="0.3">
      <c r="A39" t="s">
        <v>16</v>
      </c>
      <c r="B39" s="9">
        <v>0.06</v>
      </c>
      <c r="C39" s="9">
        <v>0.14690582959641255</v>
      </c>
      <c r="D39" s="9">
        <v>0.15156950672645739</v>
      </c>
      <c r="E39" s="9">
        <f t="shared" si="11"/>
        <v>0.11949177877428997</v>
      </c>
      <c r="F39" s="41">
        <f t="shared" si="12"/>
        <v>7.9574751888830271</v>
      </c>
      <c r="G39" s="9">
        <v>0.6</v>
      </c>
      <c r="H39" s="9">
        <v>0.71</v>
      </c>
      <c r="I39" s="9">
        <v>0.68</v>
      </c>
      <c r="J39" s="9">
        <f t="shared" si="13"/>
        <v>0.66333333333333344</v>
      </c>
      <c r="K39" s="41">
        <f t="shared" si="14"/>
        <v>26.218708827404484</v>
      </c>
    </row>
    <row r="40" spans="1:11" x14ac:dyDescent="0.3">
      <c r="A40" t="s">
        <v>200</v>
      </c>
      <c r="B40" s="9">
        <v>0.2</v>
      </c>
      <c r="C40" s="9">
        <v>0.11461883408071749</v>
      </c>
      <c r="D40" s="9">
        <v>0.14726457399103141</v>
      </c>
      <c r="E40" s="9">
        <f t="shared" si="11"/>
        <v>0.15396113602391628</v>
      </c>
      <c r="F40" s="41">
        <f t="shared" si="12"/>
        <v>10.252939009944356</v>
      </c>
      <c r="G40" s="9">
        <v>0.18</v>
      </c>
      <c r="H40" s="9">
        <v>0.23</v>
      </c>
      <c r="I40" s="9">
        <v>0.14000000000000001</v>
      </c>
      <c r="J40" s="9">
        <f t="shared" si="13"/>
        <v>0.18333333333333335</v>
      </c>
      <c r="K40" s="41">
        <f t="shared" si="14"/>
        <v>7.2463768115942049</v>
      </c>
    </row>
    <row r="41" spans="1:11" x14ac:dyDescent="0.3">
      <c r="A41" t="s">
        <v>203</v>
      </c>
      <c r="B41" s="9">
        <v>0.2</v>
      </c>
      <c r="C41" s="9">
        <v>0.16430493273542601</v>
      </c>
      <c r="D41" s="9">
        <v>0.14582959641255605</v>
      </c>
      <c r="E41" s="9">
        <f t="shared" si="11"/>
        <v>0.17004484304932735</v>
      </c>
      <c r="F41" s="41">
        <f t="shared" si="12"/>
        <v>11.324022735643398</v>
      </c>
      <c r="G41" s="9">
        <v>0.18</v>
      </c>
      <c r="H41" s="9">
        <v>0.43</v>
      </c>
      <c r="I41" s="9">
        <v>0.26</v>
      </c>
      <c r="J41" s="9">
        <f t="shared" si="13"/>
        <v>0.28999999999999998</v>
      </c>
      <c r="K41" s="41">
        <f t="shared" si="14"/>
        <v>11.462450592885375</v>
      </c>
    </row>
    <row r="42" spans="1:11" x14ac:dyDescent="0.3">
      <c r="A42" t="s">
        <v>210</v>
      </c>
      <c r="B42" s="9">
        <v>0.09</v>
      </c>
      <c r="C42" s="9">
        <v>6.0807174887892376E-2</v>
      </c>
      <c r="D42" s="9">
        <v>6.1704035874439456E-2</v>
      </c>
      <c r="E42" s="9">
        <f t="shared" si="11"/>
        <v>7.083707025411061E-2</v>
      </c>
      <c r="F42" s="41">
        <f t="shared" si="12"/>
        <v>4.7173473755462432</v>
      </c>
      <c r="G42" s="9">
        <v>0.08</v>
      </c>
      <c r="H42" s="9">
        <v>0.16</v>
      </c>
      <c r="I42" s="9">
        <v>0.11</v>
      </c>
      <c r="J42" s="9">
        <f t="shared" si="13"/>
        <v>0.11666666666666665</v>
      </c>
      <c r="K42" s="41">
        <f t="shared" si="14"/>
        <v>4.6113306982872198</v>
      </c>
    </row>
    <row r="43" spans="1:11" x14ac:dyDescent="0.3">
      <c r="A43" t="s">
        <v>204</v>
      </c>
      <c r="B43" s="9">
        <v>0.1</v>
      </c>
      <c r="C43" s="9">
        <v>7.4439461883408081E-2</v>
      </c>
      <c r="D43" s="9">
        <v>0.1431390134529148</v>
      </c>
      <c r="E43" s="9">
        <f t="shared" si="11"/>
        <v>0.1058594917787743</v>
      </c>
      <c r="F43" s="41">
        <f t="shared" si="12"/>
        <v>7.0496421425656246</v>
      </c>
      <c r="G43" s="9">
        <v>0.18</v>
      </c>
      <c r="H43" s="9">
        <v>0.2</v>
      </c>
      <c r="I43" s="9">
        <v>0.15</v>
      </c>
      <c r="J43" s="9">
        <f t="shared" si="13"/>
        <v>0.17666666666666667</v>
      </c>
      <c r="K43" s="41">
        <f t="shared" si="14"/>
        <v>6.9828722002635057</v>
      </c>
    </row>
    <row r="44" spans="1:11" x14ac:dyDescent="0.3">
      <c r="A44" t="s">
        <v>201</v>
      </c>
      <c r="B44" s="9">
        <v>0.04</v>
      </c>
      <c r="C44" s="9">
        <v>3.1031390134529144E-2</v>
      </c>
      <c r="D44" s="9">
        <v>2.0986547085201791E-2</v>
      </c>
      <c r="E44" s="9">
        <f t="shared" si="11"/>
        <v>3.0672645739910308E-2</v>
      </c>
      <c r="F44" s="41">
        <f t="shared" si="12"/>
        <v>2.0426243542141571</v>
      </c>
      <c r="G44" s="9">
        <v>0.06</v>
      </c>
      <c r="H44" s="9">
        <v>7.0000000000000007E-2</v>
      </c>
      <c r="I44" s="9">
        <v>0.04</v>
      </c>
      <c r="J44" s="9">
        <f t="shared" si="13"/>
        <v>5.6666666666666671E-2</v>
      </c>
      <c r="K44" s="41">
        <f t="shared" si="14"/>
        <v>2.239789196310936</v>
      </c>
    </row>
    <row r="45" spans="1:11" x14ac:dyDescent="0.3">
      <c r="A45" t="s">
        <v>211</v>
      </c>
      <c r="B45" s="9">
        <v>0.04</v>
      </c>
      <c r="C45" s="9">
        <v>2.9058295964125562E-2</v>
      </c>
      <c r="D45" s="9">
        <v>4.6457399103139015E-2</v>
      </c>
      <c r="E45" s="9">
        <f t="shared" si="11"/>
        <v>3.8505231689088197E-2</v>
      </c>
      <c r="F45" s="41">
        <f t="shared" si="12"/>
        <v>2.5642301834579291</v>
      </c>
      <c r="G45" s="9">
        <v>0.04</v>
      </c>
      <c r="H45" s="9">
        <v>0.05</v>
      </c>
      <c r="I45" s="9">
        <v>0.02</v>
      </c>
      <c r="J45" s="9">
        <f t="shared" si="13"/>
        <v>3.6666666666666667E-2</v>
      </c>
      <c r="K45" s="41">
        <f t="shared" si="14"/>
        <v>1.4492753623188408</v>
      </c>
    </row>
    <row r="46" spans="1:11" x14ac:dyDescent="0.3">
      <c r="A46" t="s">
        <v>205</v>
      </c>
      <c r="B46" s="9">
        <f t="shared" ref="B46:K46" si="15">SUM(B37:B45)</f>
        <v>1.57</v>
      </c>
      <c r="C46" s="9">
        <f t="shared" si="15"/>
        <v>1.3942600896860986</v>
      </c>
      <c r="D46" s="9">
        <f t="shared" si="15"/>
        <v>1.5406278026905829</v>
      </c>
      <c r="E46" s="9">
        <f t="shared" si="15"/>
        <v>1.5016292974588936</v>
      </c>
      <c r="F46" s="41">
        <f t="shared" si="15"/>
        <v>100</v>
      </c>
      <c r="G46" s="9">
        <f t="shared" si="15"/>
        <v>2.2600000000000002</v>
      </c>
      <c r="H46" s="9">
        <f t="shared" si="15"/>
        <v>3.1100000000000003</v>
      </c>
      <c r="I46" s="9">
        <f t="shared" si="15"/>
        <v>2.2200000000000002</v>
      </c>
      <c r="J46" s="9">
        <f t="shared" si="15"/>
        <v>2.5299999999999998</v>
      </c>
      <c r="K46" s="41">
        <f t="shared" si="15"/>
        <v>100</v>
      </c>
    </row>
    <row r="47" spans="1:11" x14ac:dyDescent="0.3">
      <c r="F47" s="43"/>
      <c r="K47" s="43"/>
    </row>
    <row r="48" spans="1:11" x14ac:dyDescent="0.3">
      <c r="A48" s="1" t="s">
        <v>213</v>
      </c>
      <c r="B48" s="222" t="s">
        <v>3</v>
      </c>
      <c r="C48" s="222"/>
      <c r="D48" s="222"/>
      <c r="E48" s="223" t="s">
        <v>4</v>
      </c>
      <c r="F48" s="43"/>
      <c r="G48" s="222" t="s">
        <v>3</v>
      </c>
      <c r="H48" s="222"/>
      <c r="I48" s="222"/>
      <c r="J48" s="223" t="s">
        <v>4</v>
      </c>
      <c r="K48" s="43"/>
    </row>
    <row r="49" spans="1:11" x14ac:dyDescent="0.3">
      <c r="B49" s="25" t="s">
        <v>147</v>
      </c>
      <c r="C49" s="25" t="s">
        <v>8</v>
      </c>
      <c r="D49" s="25" t="s">
        <v>9</v>
      </c>
      <c r="E49" s="223"/>
      <c r="F49" s="46" t="s">
        <v>170</v>
      </c>
      <c r="G49" s="25" t="s">
        <v>147</v>
      </c>
      <c r="H49" s="25" t="s">
        <v>8</v>
      </c>
      <c r="I49" s="25" t="s">
        <v>9</v>
      </c>
      <c r="J49" s="223"/>
      <c r="K49" s="46" t="s">
        <v>170</v>
      </c>
    </row>
    <row r="50" spans="1:11" x14ac:dyDescent="0.3">
      <c r="A50" t="s">
        <v>198</v>
      </c>
      <c r="B50" s="9">
        <v>7.56</v>
      </c>
      <c r="C50" s="9">
        <v>10.130000000000001</v>
      </c>
      <c r="D50" s="9">
        <v>10.87</v>
      </c>
      <c r="E50" s="9">
        <f>(B50+C50+D50)/3</f>
        <v>9.5200000000000014</v>
      </c>
      <c r="F50" s="41">
        <f>E50/E$54*100</f>
        <v>96.129249410972733</v>
      </c>
      <c r="G50">
        <v>29.42</v>
      </c>
      <c r="H50">
        <v>19.309999999999999</v>
      </c>
      <c r="I50">
        <v>25.06</v>
      </c>
      <c r="J50" s="9">
        <f>(G50+H50+I50)/3</f>
        <v>24.596666666666668</v>
      </c>
      <c r="K50" s="41">
        <f>J50/J$54*100</f>
        <v>90.606581532416513</v>
      </c>
    </row>
    <row r="51" spans="1:11" x14ac:dyDescent="0.3">
      <c r="A51" t="s">
        <v>16</v>
      </c>
      <c r="B51" s="9">
        <v>0.12</v>
      </c>
      <c r="C51" s="9">
        <v>0.22</v>
      </c>
      <c r="D51" s="9">
        <v>0.09</v>
      </c>
      <c r="E51" s="9">
        <f>(B51+C51+D51)/3</f>
        <v>0.14333333333333331</v>
      </c>
      <c r="F51" s="41">
        <f>E51/E$54*100</f>
        <v>1.4473241332884548</v>
      </c>
      <c r="G51" s="9">
        <v>1.24</v>
      </c>
      <c r="H51" s="9">
        <v>1.07</v>
      </c>
      <c r="I51" s="9">
        <v>0.89</v>
      </c>
      <c r="J51" s="9">
        <f>(G51+H51+I51)/3</f>
        <v>1.0666666666666667</v>
      </c>
      <c r="K51" s="41">
        <f>J51/J$54*100</f>
        <v>3.9292730844793713</v>
      </c>
    </row>
    <row r="52" spans="1:11" x14ac:dyDescent="0.3">
      <c r="A52" t="s">
        <v>203</v>
      </c>
      <c r="B52" s="9">
        <v>0.14000000000000001</v>
      </c>
      <c r="C52" s="9">
        <v>0.06</v>
      </c>
      <c r="D52" s="9">
        <v>0.19</v>
      </c>
      <c r="E52" s="9">
        <f>(B52+C52+D52)/3</f>
        <v>0.13</v>
      </c>
      <c r="F52" s="41">
        <f>E52/E$54*100</f>
        <v>1.3126893301918545</v>
      </c>
      <c r="G52" s="9">
        <v>1.59</v>
      </c>
      <c r="H52" s="9">
        <v>0.08</v>
      </c>
      <c r="I52" s="9">
        <v>1.71</v>
      </c>
      <c r="J52" s="9">
        <f>(G52+H52+I52)/3</f>
        <v>1.1266666666666667</v>
      </c>
      <c r="K52" s="41">
        <f>J52/J$54*100</f>
        <v>4.1502946954813362</v>
      </c>
    </row>
    <row r="53" spans="1:11" x14ac:dyDescent="0.3">
      <c r="A53" t="s">
        <v>199</v>
      </c>
      <c r="B53" s="9">
        <v>0.11</v>
      </c>
      <c r="C53" s="9">
        <v>0.18</v>
      </c>
      <c r="D53" s="9">
        <v>0.04</v>
      </c>
      <c r="E53" s="9">
        <f>(B53+C53+D53)/3</f>
        <v>0.10999999999999999</v>
      </c>
      <c r="F53" s="41">
        <f>E53/E$54*100</f>
        <v>1.1107371255469536</v>
      </c>
      <c r="G53" s="9">
        <v>0.12</v>
      </c>
      <c r="H53" s="9">
        <v>0.53</v>
      </c>
      <c r="I53" s="9">
        <v>0.42</v>
      </c>
      <c r="J53" s="9">
        <f>(G53+H53+I53)/3</f>
        <v>0.35666666666666669</v>
      </c>
      <c r="K53" s="41">
        <f>J53/J$54*100</f>
        <v>1.3138506876227898</v>
      </c>
    </row>
    <row r="54" spans="1:11" x14ac:dyDescent="0.3">
      <c r="A54" t="s">
        <v>205</v>
      </c>
      <c r="B54" s="9">
        <f t="shared" ref="B54:K54" si="16">SUM(B50:B53)</f>
        <v>7.93</v>
      </c>
      <c r="C54" s="9">
        <f t="shared" si="16"/>
        <v>10.590000000000002</v>
      </c>
      <c r="D54" s="9">
        <f t="shared" si="16"/>
        <v>11.189999999999998</v>
      </c>
      <c r="E54" s="9">
        <f t="shared" si="16"/>
        <v>9.9033333333333342</v>
      </c>
      <c r="F54" s="41">
        <f t="shared" si="16"/>
        <v>100</v>
      </c>
      <c r="G54" s="9">
        <f t="shared" si="16"/>
        <v>32.369999999999997</v>
      </c>
      <c r="H54" s="9">
        <f t="shared" si="16"/>
        <v>20.99</v>
      </c>
      <c r="I54" s="9">
        <f t="shared" si="16"/>
        <v>28.080000000000002</v>
      </c>
      <c r="J54" s="9">
        <f t="shared" si="16"/>
        <v>27.146666666666665</v>
      </c>
      <c r="K54" s="41">
        <f t="shared" si="16"/>
        <v>100.00000000000001</v>
      </c>
    </row>
  </sheetData>
  <mergeCells count="23">
    <mergeCell ref="B17:D17"/>
    <mergeCell ref="E17:E18"/>
    <mergeCell ref="G17:I17"/>
    <mergeCell ref="J17:J18"/>
    <mergeCell ref="B48:D48"/>
    <mergeCell ref="E48:E49"/>
    <mergeCell ref="G48:I48"/>
    <mergeCell ref="J48:J49"/>
    <mergeCell ref="B22:D22"/>
    <mergeCell ref="E22:E23"/>
    <mergeCell ref="G22:I22"/>
    <mergeCell ref="J22:J23"/>
    <mergeCell ref="B35:D35"/>
    <mergeCell ref="E35:E36"/>
    <mergeCell ref="G35:I35"/>
    <mergeCell ref="J35:J36"/>
    <mergeCell ref="B3:F3"/>
    <mergeCell ref="G3:K3"/>
    <mergeCell ref="A2:K2"/>
    <mergeCell ref="B4:D4"/>
    <mergeCell ref="E4:E5"/>
    <mergeCell ref="G4:I4"/>
    <mergeCell ref="J4:J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zoomScale="112" zoomScaleNormal="112" workbookViewId="0">
      <selection activeCell="A3" sqref="A3"/>
    </sheetView>
  </sheetViews>
  <sheetFormatPr defaultRowHeight="14.4" x14ac:dyDescent="0.3"/>
  <cols>
    <col min="1" max="1" width="37.109375" customWidth="1"/>
    <col min="2" max="2" width="10.33203125" customWidth="1"/>
    <col min="3" max="3" width="10.44140625" customWidth="1"/>
    <col min="4" max="4" width="10.109375" customWidth="1"/>
    <col min="5" max="5" width="10.5546875" bestFit="1" customWidth="1"/>
    <col min="7" max="7" width="10.33203125" customWidth="1"/>
    <col min="8" max="8" width="10.109375" customWidth="1"/>
    <col min="9" max="9" width="10.33203125" customWidth="1"/>
    <col min="12" max="12" width="10.44140625" customWidth="1"/>
    <col min="13" max="13" width="9.88671875" customWidth="1"/>
    <col min="14" max="14" width="10.109375" customWidth="1"/>
  </cols>
  <sheetData>
    <row r="1" spans="1:21" x14ac:dyDescent="0.3">
      <c r="A1" s="1" t="s">
        <v>396</v>
      </c>
    </row>
    <row r="2" spans="1:21" x14ac:dyDescent="0.3">
      <c r="A2" t="s">
        <v>148</v>
      </c>
      <c r="U2" s="27"/>
    </row>
    <row r="3" spans="1:21" x14ac:dyDescent="0.3">
      <c r="A3" t="s">
        <v>149</v>
      </c>
      <c r="U3" s="27"/>
    </row>
    <row r="4" spans="1:21" x14ac:dyDescent="0.3">
      <c r="U4" s="27"/>
    </row>
    <row r="5" spans="1:21" x14ac:dyDescent="0.3">
      <c r="A5" t="s">
        <v>150</v>
      </c>
      <c r="U5" s="27"/>
    </row>
    <row r="6" spans="1:21" x14ac:dyDescent="0.3">
      <c r="A6" t="s">
        <v>151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21" x14ac:dyDescent="0.3">
      <c r="A7" t="s">
        <v>152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21" x14ac:dyDescent="0.3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21" x14ac:dyDescent="0.3">
      <c r="A9" t="s">
        <v>273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21" x14ac:dyDescent="0.3">
      <c r="A10" t="s">
        <v>154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21" x14ac:dyDescent="0.3">
      <c r="A12" s="1"/>
      <c r="B12" s="208" t="s">
        <v>155</v>
      </c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</row>
    <row r="13" spans="1:21" x14ac:dyDescent="0.3">
      <c r="B13" s="209" t="s">
        <v>16</v>
      </c>
      <c r="C13" s="209"/>
      <c r="D13" s="209"/>
      <c r="E13" s="223" t="s">
        <v>4</v>
      </c>
      <c r="F13" s="223" t="s">
        <v>5</v>
      </c>
      <c r="G13" s="209" t="s">
        <v>272</v>
      </c>
      <c r="H13" s="209"/>
      <c r="I13" s="209"/>
      <c r="J13" s="223" t="s">
        <v>4</v>
      </c>
      <c r="K13" s="223" t="s">
        <v>5</v>
      </c>
      <c r="L13" s="209" t="s">
        <v>157</v>
      </c>
      <c r="M13" s="209"/>
      <c r="N13" s="209"/>
      <c r="O13" s="223" t="s">
        <v>4</v>
      </c>
      <c r="P13" s="223" t="s">
        <v>5</v>
      </c>
    </row>
    <row r="14" spans="1:21" x14ac:dyDescent="0.3">
      <c r="B14" t="s">
        <v>7</v>
      </c>
      <c r="C14" t="s">
        <v>8</v>
      </c>
      <c r="D14" t="s">
        <v>9</v>
      </c>
      <c r="E14" s="223"/>
      <c r="F14" s="223"/>
      <c r="G14" t="s">
        <v>7</v>
      </c>
      <c r="H14" t="s">
        <v>8</v>
      </c>
      <c r="I14" t="s">
        <v>9</v>
      </c>
      <c r="J14" s="223"/>
      <c r="K14" s="223"/>
      <c r="L14" t="s">
        <v>7</v>
      </c>
      <c r="M14" t="s">
        <v>8</v>
      </c>
      <c r="N14" t="s">
        <v>9</v>
      </c>
      <c r="O14" s="223"/>
      <c r="P14" s="223"/>
    </row>
    <row r="15" spans="1:21" x14ac:dyDescent="0.3">
      <c r="A15" t="s">
        <v>158</v>
      </c>
      <c r="B15" s="27">
        <v>14.3209</v>
      </c>
      <c r="C15" s="27">
        <v>19.200199999999999</v>
      </c>
      <c r="D15" s="27">
        <v>9.2451000000000008</v>
      </c>
      <c r="E15" s="6">
        <f>AVERAGE(B15:D15)</f>
        <v>14.2554</v>
      </c>
      <c r="F15" s="6">
        <f>(ABS(B15-E15)+ABS(C15-E15)+ABS(D15-E15))/3</f>
        <v>3.3401999999999994</v>
      </c>
      <c r="G15" s="27">
        <v>0</v>
      </c>
      <c r="H15" s="27">
        <v>0</v>
      </c>
      <c r="I15" s="27">
        <v>0</v>
      </c>
      <c r="J15" s="6">
        <f>AVERAGE(G15:I15)</f>
        <v>0</v>
      </c>
      <c r="K15" s="6">
        <f>(ABS(G15-J15)+ABS(H15-J15)+ABS(I15-J15))/3</f>
        <v>0</v>
      </c>
      <c r="L15" s="27">
        <v>54.116819999999997</v>
      </c>
      <c r="M15" s="27">
        <v>20.326499999999999</v>
      </c>
      <c r="N15" s="27">
        <v>90.125399999999999</v>
      </c>
      <c r="O15" s="6">
        <f>AVERAGE(L15:N15)</f>
        <v>54.856239999999993</v>
      </c>
      <c r="P15" s="6">
        <f>(ABS(L15-O15)+ABS(M15-O15)+ABS(N15-O15))/3</f>
        <v>23.512773333333332</v>
      </c>
    </row>
    <row r="16" spans="1:21" x14ac:dyDescent="0.3">
      <c r="A16" t="s">
        <v>159</v>
      </c>
      <c r="B16" s="27">
        <v>0</v>
      </c>
      <c r="C16" s="27">
        <v>0</v>
      </c>
      <c r="D16" s="27">
        <v>0</v>
      </c>
      <c r="E16" s="6">
        <f>AVERAGE(B16:D16)</f>
        <v>0</v>
      </c>
      <c r="F16" s="6">
        <f>(ABS(B16-E16)+ABS(C16-E16)+ABS(D16-E16))/3</f>
        <v>0</v>
      </c>
      <c r="G16" s="27">
        <v>0</v>
      </c>
      <c r="H16" s="27">
        <v>0</v>
      </c>
      <c r="I16" s="27">
        <v>0</v>
      </c>
      <c r="J16" s="6">
        <f>AVERAGE(G16:I16)</f>
        <v>0</v>
      </c>
      <c r="K16" s="6">
        <f>(ABS(G16-J16)+ABS(H16-J16)+ABS(I16-J16))/3</f>
        <v>0</v>
      </c>
      <c r="L16" s="27">
        <v>926.32339999999999</v>
      </c>
      <c r="M16" s="27">
        <v>821.23540000000003</v>
      </c>
      <c r="N16" s="27">
        <v>434.32470000000001</v>
      </c>
      <c r="O16" s="6">
        <f>AVERAGE(L16:N16)</f>
        <v>727.29449999999997</v>
      </c>
      <c r="P16" s="6">
        <f>(ABS(L16-O16)+ABS(M16-O16)+ABS(N16-O16))/3</f>
        <v>195.31320000000002</v>
      </c>
    </row>
    <row r="17" spans="1:16" x14ac:dyDescent="0.3">
      <c r="A17" t="s">
        <v>214</v>
      </c>
      <c r="B17" s="27">
        <v>153.80000000000001</v>
      </c>
      <c r="C17" s="27">
        <v>171.5</v>
      </c>
      <c r="D17" s="27">
        <v>78.099999999999994</v>
      </c>
      <c r="E17" s="6">
        <f>AVERAGE(B17:D17)</f>
        <v>134.46666666666667</v>
      </c>
      <c r="F17" s="6">
        <f>(ABS(B17-E17)+ABS(C17-E17)+ABS(D17-E17))/3</f>
        <v>37.577777777777783</v>
      </c>
      <c r="G17" s="27">
        <v>71.8</v>
      </c>
      <c r="H17" s="27">
        <v>53.2</v>
      </c>
      <c r="I17" s="27">
        <v>117.5</v>
      </c>
      <c r="J17" s="6">
        <f>AVERAGE(G17:I17)</f>
        <v>80.833333333333329</v>
      </c>
      <c r="K17" s="6">
        <f>(ABS(G17-J17)+ABS(H17-J17)+ABS(I17-J17))/3</f>
        <v>24.444444444444443</v>
      </c>
      <c r="L17" s="27">
        <v>0</v>
      </c>
      <c r="M17" s="27">
        <v>103.4</v>
      </c>
      <c r="N17" s="27">
        <v>40.6</v>
      </c>
      <c r="O17" s="6">
        <f>AVERAGE(L17:N17)</f>
        <v>48</v>
      </c>
      <c r="P17" s="6">
        <f>(ABS(L17-O17)+ABS(M17-O17)+ABS(N17-O17))/3</f>
        <v>36.933333333333337</v>
      </c>
    </row>
    <row r="18" spans="1:16" x14ac:dyDescent="0.3">
      <c r="A18" t="s">
        <v>215</v>
      </c>
      <c r="B18" s="27">
        <v>227.1</v>
      </c>
      <c r="C18" s="27">
        <v>229.4</v>
      </c>
      <c r="D18" s="27">
        <v>111.7</v>
      </c>
      <c r="E18" s="6">
        <f>AVERAGE(B18:D18)</f>
        <v>189.4</v>
      </c>
      <c r="F18" s="6">
        <f>(ABS(B18-E18)+ABS(C18-E18)+ABS(D18-E18))/3</f>
        <v>51.79999999999999</v>
      </c>
      <c r="G18" s="27">
        <v>36.799999999999997</v>
      </c>
      <c r="H18" s="27">
        <v>29.8</v>
      </c>
      <c r="I18" s="27">
        <v>75.2</v>
      </c>
      <c r="J18" s="6">
        <f>AVERAGE(G18:I18)</f>
        <v>47.266666666666673</v>
      </c>
      <c r="K18" s="6">
        <f>(ABS(G18-J18)+ABS(H18-J18)+ABS(I18-J18))/3</f>
        <v>18.622222222222224</v>
      </c>
      <c r="L18" s="27">
        <v>794.1</v>
      </c>
      <c r="M18" s="27">
        <v>1025.7840000000001</v>
      </c>
      <c r="N18" s="27">
        <v>557.875</v>
      </c>
      <c r="O18" s="6">
        <f>AVERAGE(L18:N18)</f>
        <v>792.5863333333333</v>
      </c>
      <c r="P18" s="6">
        <f>(ABS(L18-O18)+ABS(M18-O18)+ABS(N18-O18))/3</f>
        <v>156.47422222222227</v>
      </c>
    </row>
    <row r="19" spans="1:16" x14ac:dyDescent="0.3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6" x14ac:dyDescent="0.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 x14ac:dyDescent="0.3">
      <c r="B21" s="208" t="s">
        <v>162</v>
      </c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</row>
    <row r="22" spans="1:16" x14ac:dyDescent="0.3">
      <c r="B22" s="209" t="s">
        <v>16</v>
      </c>
      <c r="C22" s="209"/>
      <c r="D22" s="209"/>
      <c r="E22" s="223" t="s">
        <v>4</v>
      </c>
      <c r="F22" s="223" t="s">
        <v>5</v>
      </c>
      <c r="G22" s="209" t="s">
        <v>272</v>
      </c>
      <c r="H22" s="209"/>
      <c r="I22" s="209"/>
      <c r="J22" s="223" t="s">
        <v>4</v>
      </c>
      <c r="K22" s="223" t="s">
        <v>5</v>
      </c>
      <c r="L22" s="209" t="s">
        <v>157</v>
      </c>
      <c r="M22" s="209"/>
      <c r="N22" s="209"/>
      <c r="O22" s="223" t="s">
        <v>4</v>
      </c>
      <c r="P22" s="223" t="s">
        <v>5</v>
      </c>
    </row>
    <row r="23" spans="1:16" x14ac:dyDescent="0.3">
      <c r="B23" t="s">
        <v>7</v>
      </c>
      <c r="C23" t="s">
        <v>8</v>
      </c>
      <c r="D23" t="s">
        <v>9</v>
      </c>
      <c r="E23" s="223"/>
      <c r="F23" s="223"/>
      <c r="G23" t="s">
        <v>7</v>
      </c>
      <c r="H23" t="s">
        <v>8</v>
      </c>
      <c r="I23" t="s">
        <v>9</v>
      </c>
      <c r="J23" s="223"/>
      <c r="K23" s="223"/>
      <c r="L23" t="s">
        <v>7</v>
      </c>
      <c r="M23" t="s">
        <v>8</v>
      </c>
      <c r="N23" t="s">
        <v>9</v>
      </c>
      <c r="O23" s="223"/>
      <c r="P23" s="223"/>
    </row>
    <row r="24" spans="1:16" x14ac:dyDescent="0.3">
      <c r="A24" t="s">
        <v>158</v>
      </c>
      <c r="B24" s="26">
        <f t="shared" ref="B24:D27" si="0">2/5*B15/881.3*10*1000</f>
        <v>64.998978781345755</v>
      </c>
      <c r="C24" s="26">
        <f t="shared" si="0"/>
        <v>87.144899580165671</v>
      </c>
      <c r="D24" s="26">
        <f t="shared" si="0"/>
        <v>41.961193691138099</v>
      </c>
      <c r="E24" s="6">
        <f>AVERAGE(B24:D24)</f>
        <v>64.701690684216516</v>
      </c>
      <c r="F24" s="6">
        <f>(ABS(B24-E24)+ABS(C24-E24)+ABS(D24-E24))/3</f>
        <v>15.160331328718938</v>
      </c>
      <c r="G24" s="26">
        <f t="shared" ref="G24:I27" si="1">2/5*G15/881.3*10*1000</f>
        <v>0</v>
      </c>
      <c r="H24" s="26">
        <f t="shared" si="1"/>
        <v>0</v>
      </c>
      <c r="I24" s="26">
        <f t="shared" si="1"/>
        <v>0</v>
      </c>
      <c r="J24" s="6">
        <f>AVERAGE(G24:I24)</f>
        <v>0</v>
      </c>
      <c r="K24" s="6">
        <f>(ABS(G24-J24)+ABS(H24-J24)+ABS(I24-J24))/3</f>
        <v>0</v>
      </c>
      <c r="L24" s="26">
        <f t="shared" ref="L24:N27" si="2">2/5*L15/881.3*10*1000</f>
        <v>245.62269374787249</v>
      </c>
      <c r="M24" s="26">
        <f t="shared" si="2"/>
        <v>92.256893225916258</v>
      </c>
      <c r="N24" s="26">
        <f t="shared" si="2"/>
        <v>409.05662090094177</v>
      </c>
      <c r="O24" s="6">
        <f>AVERAGE(L24:N24)</f>
        <v>248.9787359582435</v>
      </c>
      <c r="P24" s="6">
        <f>(ABS(L24-O24)+ABS(M24-O24)+ABS(N24-O24))/3</f>
        <v>106.71858996179884</v>
      </c>
    </row>
    <row r="25" spans="1:16" x14ac:dyDescent="0.3">
      <c r="A25" t="s">
        <v>159</v>
      </c>
      <c r="B25" s="26">
        <f t="shared" si="0"/>
        <v>0</v>
      </c>
      <c r="C25" s="26">
        <f t="shared" si="0"/>
        <v>0</v>
      </c>
      <c r="D25" s="26">
        <f t="shared" si="0"/>
        <v>0</v>
      </c>
      <c r="E25" s="6">
        <f>AVERAGE(B25:D25)</f>
        <v>0</v>
      </c>
      <c r="F25" s="6">
        <f>(ABS(B25-E25)+ABS(C25-E25)+ABS(D25-E25))/3</f>
        <v>0</v>
      </c>
      <c r="G25" s="26">
        <f t="shared" si="1"/>
        <v>0</v>
      </c>
      <c r="H25" s="26">
        <f t="shared" si="1"/>
        <v>0</v>
      </c>
      <c r="I25" s="26">
        <f t="shared" si="1"/>
        <v>0</v>
      </c>
      <c r="J25" s="6">
        <f>AVERAGE(G25:I25)</f>
        <v>0</v>
      </c>
      <c r="K25" s="6">
        <f>(ABS(G25-J25)+ABS(H25-J25)+ABS(I25-J25))/3</f>
        <v>0</v>
      </c>
      <c r="L25" s="26">
        <f t="shared" si="2"/>
        <v>4204.3499375921929</v>
      </c>
      <c r="M25" s="26">
        <f t="shared" si="2"/>
        <v>3727.3818223079543</v>
      </c>
      <c r="N25" s="26">
        <f t="shared" si="2"/>
        <v>1971.2910473164648</v>
      </c>
      <c r="O25" s="6">
        <f>AVERAGE(L25:N25)</f>
        <v>3301.0076024055375</v>
      </c>
      <c r="P25" s="6">
        <f>(ABS(L25-O25)+ABS(M25-O25)+ABS(N25-O25))/3</f>
        <v>886.47770339271494</v>
      </c>
    </row>
    <row r="26" spans="1:16" x14ac:dyDescent="0.3">
      <c r="A26" t="s">
        <v>214</v>
      </c>
      <c r="B26" s="26">
        <f t="shared" si="0"/>
        <v>698.0596845569047</v>
      </c>
      <c r="C26" s="26">
        <f t="shared" si="0"/>
        <v>778.39555202541715</v>
      </c>
      <c r="D26" s="26">
        <f t="shared" si="0"/>
        <v>354.47634176784294</v>
      </c>
      <c r="E26" s="6">
        <f>AVERAGE(B26:D26)</f>
        <v>610.31052611672169</v>
      </c>
      <c r="F26" s="6">
        <f>(ABS(B26-E26)+ABS(C26-E26)+ABS(D26-E26))/3</f>
        <v>170.55612289925241</v>
      </c>
      <c r="G26" s="26">
        <f t="shared" si="1"/>
        <v>325.88221944854195</v>
      </c>
      <c r="H26" s="26">
        <f t="shared" si="1"/>
        <v>241.46147736298653</v>
      </c>
      <c r="I26" s="26">
        <f t="shared" si="1"/>
        <v>533.30307500283675</v>
      </c>
      <c r="J26" s="6">
        <f>AVERAGE(G26:I26)</f>
        <v>366.8822572714551</v>
      </c>
      <c r="K26" s="6">
        <f>(ABS(G26-J26)+ABS(H26-J26)+ABS(I26-J26))/3</f>
        <v>110.94721182092114</v>
      </c>
      <c r="L26" s="26">
        <f t="shared" si="2"/>
        <v>0</v>
      </c>
      <c r="M26" s="26">
        <f t="shared" si="2"/>
        <v>469.30670600249641</v>
      </c>
      <c r="N26" s="26">
        <f t="shared" si="2"/>
        <v>184.27323272438446</v>
      </c>
      <c r="O26" s="6">
        <f>AVERAGE(L26:N26)</f>
        <v>217.85997957562697</v>
      </c>
      <c r="P26" s="6">
        <f>(ABS(L26-O26)+ABS(M26-O26)+ABS(N26-O26))/3</f>
        <v>167.63115095124633</v>
      </c>
    </row>
    <row r="27" spans="1:16" x14ac:dyDescent="0.3">
      <c r="A27" t="s">
        <v>215</v>
      </c>
      <c r="B27" s="26">
        <f t="shared" si="0"/>
        <v>1030.7500283671848</v>
      </c>
      <c r="C27" s="26">
        <f t="shared" si="0"/>
        <v>1041.189152388517</v>
      </c>
      <c r="D27" s="26">
        <f t="shared" si="0"/>
        <v>506.97832747078189</v>
      </c>
      <c r="E27" s="6">
        <f>AVERAGE(B27:D27)</f>
        <v>859.63916940882791</v>
      </c>
      <c r="F27" s="6">
        <f>(ABS(B27-E27)+ABS(C27-E27)+ABS(D27-E27))/3</f>
        <v>235.10722795869731</v>
      </c>
      <c r="G27" s="26">
        <f t="shared" si="1"/>
        <v>167.02598434131397</v>
      </c>
      <c r="H27" s="26">
        <f t="shared" si="1"/>
        <v>135.25473731986838</v>
      </c>
      <c r="I27" s="26">
        <f t="shared" si="1"/>
        <v>341.31396800181557</v>
      </c>
      <c r="J27" s="6">
        <f>AVERAGE(G27:I27)</f>
        <v>214.53156322099935</v>
      </c>
      <c r="K27" s="6">
        <f>(ABS(G27-J27)+ABS(H27-J27)+ABS(I27-J27))/3</f>
        <v>84.521603187210857</v>
      </c>
      <c r="L27" s="26">
        <f t="shared" si="2"/>
        <v>3604.2210371042784</v>
      </c>
      <c r="M27" s="26">
        <f t="shared" si="2"/>
        <v>4655.7766935209365</v>
      </c>
      <c r="N27" s="26">
        <f t="shared" si="2"/>
        <v>2532.0549188698519</v>
      </c>
      <c r="O27" s="6">
        <f>AVERAGE(L27:N27)</f>
        <v>3597.350883165022</v>
      </c>
      <c r="P27" s="6">
        <f>(ABS(L27-O27)+ABS(M27-O27)+ABS(N27-O27))/3</f>
        <v>710.19730953011367</v>
      </c>
    </row>
    <row r="28" spans="1:16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 x14ac:dyDescent="0.3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 x14ac:dyDescent="0.3">
      <c r="B30" s="208" t="s">
        <v>164</v>
      </c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</row>
    <row r="31" spans="1:16" x14ac:dyDescent="0.3">
      <c r="B31" s="209" t="s">
        <v>16</v>
      </c>
      <c r="C31" s="209"/>
      <c r="D31" s="209"/>
      <c r="E31" s="223" t="s">
        <v>4</v>
      </c>
      <c r="F31" s="223" t="s">
        <v>5</v>
      </c>
      <c r="G31" s="209" t="s">
        <v>272</v>
      </c>
      <c r="H31" s="209"/>
      <c r="I31" s="209"/>
      <c r="J31" s="223" t="s">
        <v>4</v>
      </c>
      <c r="K31" s="223" t="s">
        <v>5</v>
      </c>
      <c r="L31" s="209" t="s">
        <v>157</v>
      </c>
      <c r="M31" s="209"/>
      <c r="N31" s="209"/>
      <c r="O31" s="223" t="s">
        <v>4</v>
      </c>
      <c r="P31" s="223" t="s">
        <v>5</v>
      </c>
    </row>
    <row r="32" spans="1:16" x14ac:dyDescent="0.3">
      <c r="A32" s="1"/>
      <c r="B32" t="s">
        <v>7</v>
      </c>
      <c r="C32" t="s">
        <v>8</v>
      </c>
      <c r="D32" t="s">
        <v>9</v>
      </c>
      <c r="E32" s="223"/>
      <c r="F32" s="223"/>
      <c r="G32" t="s">
        <v>7</v>
      </c>
      <c r="H32" t="s">
        <v>8</v>
      </c>
      <c r="I32" t="s">
        <v>9</v>
      </c>
      <c r="J32" s="223"/>
      <c r="K32" s="223"/>
      <c r="L32" t="s">
        <v>7</v>
      </c>
      <c r="M32" t="s">
        <v>8</v>
      </c>
      <c r="N32" t="s">
        <v>9</v>
      </c>
      <c r="O32" s="223"/>
      <c r="P32" s="223"/>
    </row>
    <row r="33" spans="1:16" x14ac:dyDescent="0.3">
      <c r="A33" t="s">
        <v>158</v>
      </c>
      <c r="B33" s="26">
        <f t="shared" ref="B33:D36" si="3">B24/136.238</f>
        <v>0.47709874470665858</v>
      </c>
      <c r="C33" s="26">
        <f t="shared" si="3"/>
        <v>0.63965192956565475</v>
      </c>
      <c r="D33" s="26">
        <f t="shared" si="3"/>
        <v>0.30799919032236306</v>
      </c>
      <c r="E33" s="6">
        <f>AVERAGE(B33:D33)</f>
        <v>0.47491662153155878</v>
      </c>
      <c r="F33" s="6">
        <f>(ABS(B33-E33)+ABS(C33-E33)+ABS(D33-E33))/3</f>
        <v>0.11127828747279717</v>
      </c>
      <c r="G33" s="26">
        <f t="shared" ref="G33:I36" si="4">G24/154.25</f>
        <v>0</v>
      </c>
      <c r="H33" s="26">
        <f t="shared" si="4"/>
        <v>0</v>
      </c>
      <c r="I33" s="26">
        <f t="shared" si="4"/>
        <v>0</v>
      </c>
      <c r="J33" s="6">
        <f>AVERAGE(G33:I33)</f>
        <v>0</v>
      </c>
      <c r="K33" s="6">
        <f>(ABS(G33-J33)+ABS(H33-J33)+ABS(I33-J33))/3</f>
        <v>0</v>
      </c>
      <c r="L33" s="26">
        <f t="shared" ref="L33:N36" si="5">L24/222.37</f>
        <v>1.1045675844217857</v>
      </c>
      <c r="M33" s="26">
        <f t="shared" si="5"/>
        <v>0.41488012423400755</v>
      </c>
      <c r="N33" s="26">
        <f t="shared" si="5"/>
        <v>1.8395315056030119</v>
      </c>
      <c r="O33" s="6">
        <f>AVERAGE(L33:N33)</f>
        <v>1.1196597380862683</v>
      </c>
      <c r="P33" s="6">
        <f>(ABS(L33-O33)+ABS(M33-O33)+ABS(N33-O33))/3</f>
        <v>0.47991451167782895</v>
      </c>
    </row>
    <row r="34" spans="1:16" x14ac:dyDescent="0.3">
      <c r="A34" t="s">
        <v>159</v>
      </c>
      <c r="B34" s="26">
        <f t="shared" si="3"/>
        <v>0</v>
      </c>
      <c r="C34" s="26">
        <f t="shared" si="3"/>
        <v>0</v>
      </c>
      <c r="D34" s="26">
        <f t="shared" si="3"/>
        <v>0</v>
      </c>
      <c r="E34" s="6">
        <f>AVERAGE(B34:D34)</f>
        <v>0</v>
      </c>
      <c r="F34" s="6">
        <f>(ABS(B34-E34)+ABS(C34-E34)+ABS(D34-E34))/3</f>
        <v>0</v>
      </c>
      <c r="G34" s="26">
        <f t="shared" si="4"/>
        <v>0</v>
      </c>
      <c r="H34" s="26">
        <f t="shared" si="4"/>
        <v>0</v>
      </c>
      <c r="I34" s="26">
        <f t="shared" si="4"/>
        <v>0</v>
      </c>
      <c r="J34" s="6">
        <f>AVERAGE(G34:I34)</f>
        <v>0</v>
      </c>
      <c r="K34" s="6">
        <f>(ABS(G34-J34)+ABS(H34-J34)+ABS(I34-J34))/3</f>
        <v>0</v>
      </c>
      <c r="L34" s="26">
        <f t="shared" si="5"/>
        <v>18.907001563125391</v>
      </c>
      <c r="M34" s="26">
        <f t="shared" si="5"/>
        <v>16.762071422889573</v>
      </c>
      <c r="N34" s="26">
        <f t="shared" si="5"/>
        <v>8.8649145447518318</v>
      </c>
      <c r="O34" s="6">
        <f>AVERAGE(L34:N34)</f>
        <v>14.844662510255601</v>
      </c>
      <c r="P34" s="6">
        <f>(ABS(L34-O34)+ABS(M34-O34)+ABS(N34-O34))/3</f>
        <v>3.9864986436691772</v>
      </c>
    </row>
    <row r="35" spans="1:16" x14ac:dyDescent="0.3">
      <c r="A35" t="s">
        <v>214</v>
      </c>
      <c r="B35" s="26">
        <f t="shared" si="3"/>
        <v>5.1238251042800442</v>
      </c>
      <c r="C35" s="26">
        <f t="shared" si="3"/>
        <v>5.7134980844215058</v>
      </c>
      <c r="D35" s="26">
        <f t="shared" si="3"/>
        <v>2.6018903813021548</v>
      </c>
      <c r="E35" s="6">
        <f>AVERAGE(B35:D35)</f>
        <v>4.479737856667902</v>
      </c>
      <c r="F35" s="6">
        <f>(ABS(B35-E35)+ABS(C35-E35)+ABS(D35-E35))/3</f>
        <v>1.2518983169104978</v>
      </c>
      <c r="G35" s="26">
        <f t="shared" si="4"/>
        <v>2.112688618791196</v>
      </c>
      <c r="H35" s="26">
        <f t="shared" si="4"/>
        <v>1.5653904529204961</v>
      </c>
      <c r="I35" s="26">
        <f t="shared" si="4"/>
        <v>3.4573943274089904</v>
      </c>
      <c r="J35" s="6">
        <f>AVERAGE(G35:I35)</f>
        <v>2.3784911330402276</v>
      </c>
      <c r="K35" s="6">
        <f>(ABS(G35-J35)+ABS(H35-J35)+ABS(I35-J35))/3</f>
        <v>0.71926879624584206</v>
      </c>
      <c r="L35" s="26">
        <f t="shared" si="5"/>
        <v>0</v>
      </c>
      <c r="M35" s="26">
        <f t="shared" si="5"/>
        <v>2.1104767099990842</v>
      </c>
      <c r="N35" s="26">
        <f t="shared" si="5"/>
        <v>0.82867847607314138</v>
      </c>
      <c r="O35" s="6">
        <f>AVERAGE(L35:N35)</f>
        <v>0.97971839535740857</v>
      </c>
      <c r="P35" s="6">
        <f>(ABS(L35-O35)+ABS(M35-O35)+ABS(N35-O35))/3</f>
        <v>0.7538388764277838</v>
      </c>
    </row>
    <row r="36" spans="1:16" x14ac:dyDescent="0.3">
      <c r="A36" t="s">
        <v>215</v>
      </c>
      <c r="B36" s="26">
        <f t="shared" si="3"/>
        <v>7.5658041689336661</v>
      </c>
      <c r="C36" s="26">
        <f t="shared" si="3"/>
        <v>7.642428341494421</v>
      </c>
      <c r="D36" s="26">
        <f t="shared" si="3"/>
        <v>3.7212695978418791</v>
      </c>
      <c r="E36" s="6">
        <f>AVERAGE(B36:D36)</f>
        <v>6.3098340360899883</v>
      </c>
      <c r="F36" s="6">
        <f>(ABS(B36-E36)+ABS(C36-E36)+ABS(D36-E36))/3</f>
        <v>1.7257096254987399</v>
      </c>
      <c r="G36" s="26">
        <f t="shared" si="4"/>
        <v>1.0828264787119219</v>
      </c>
      <c r="H36" s="26">
        <f t="shared" si="4"/>
        <v>0.87685405069606737</v>
      </c>
      <c r="I36" s="26">
        <f t="shared" si="4"/>
        <v>2.212732369541754</v>
      </c>
      <c r="J36" s="6">
        <f>AVERAGE(G36:I36)</f>
        <v>1.3908042996499146</v>
      </c>
      <c r="K36" s="6">
        <f>(ABS(G36-J36)+ABS(H36-J36)+ABS(I36-J36))/3</f>
        <v>0.54795204659455976</v>
      </c>
      <c r="L36" s="26">
        <f t="shared" si="5"/>
        <v>16.208216203194127</v>
      </c>
      <c r="M36" s="26">
        <f t="shared" si="5"/>
        <v>20.937071967985503</v>
      </c>
      <c r="N36" s="26">
        <f t="shared" si="5"/>
        <v>11.386674996041965</v>
      </c>
      <c r="O36" s="6">
        <f>AVERAGE(L36:N36)</f>
        <v>16.177321055740531</v>
      </c>
      <c r="P36" s="6">
        <f>(ABS(L36-O36)+ABS(M36-O36)+ABS(N36-O36))/3</f>
        <v>3.1937640397990443</v>
      </c>
    </row>
    <row r="38" spans="1:16" x14ac:dyDescent="0.3">
      <c r="J38" t="s">
        <v>82</v>
      </c>
    </row>
    <row r="137" spans="12:21" x14ac:dyDescent="0.3"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</row>
    <row r="138" spans="12:21" x14ac:dyDescent="0.3">
      <c r="O138" s="35"/>
      <c r="P138" s="35"/>
      <c r="T138" s="35"/>
      <c r="U138" s="35"/>
    </row>
    <row r="139" spans="12:21" x14ac:dyDescent="0.3">
      <c r="M139" s="36"/>
      <c r="N139" s="36"/>
      <c r="O139" s="6"/>
      <c r="P139" s="6"/>
      <c r="T139" s="6"/>
      <c r="U139" s="6"/>
    </row>
  </sheetData>
  <mergeCells count="32">
    <mergeCell ref="B12:P12"/>
    <mergeCell ref="B13:D13"/>
    <mergeCell ref="E13:E14"/>
    <mergeCell ref="F13:F14"/>
    <mergeCell ref="G13:I13"/>
    <mergeCell ref="J13:J14"/>
    <mergeCell ref="K13:K14"/>
    <mergeCell ref="L13:N13"/>
    <mergeCell ref="O13:O14"/>
    <mergeCell ref="P13:P14"/>
    <mergeCell ref="B21:P21"/>
    <mergeCell ref="B22:D22"/>
    <mergeCell ref="E22:E23"/>
    <mergeCell ref="F22:F23"/>
    <mergeCell ref="G22:I22"/>
    <mergeCell ref="J22:J23"/>
    <mergeCell ref="K22:K23"/>
    <mergeCell ref="L22:N22"/>
    <mergeCell ref="O22:O23"/>
    <mergeCell ref="P22:P23"/>
    <mergeCell ref="L137:P137"/>
    <mergeCell ref="Q137:U137"/>
    <mergeCell ref="B30:P30"/>
    <mergeCell ref="B31:D31"/>
    <mergeCell ref="E31:E32"/>
    <mergeCell ref="F31:F32"/>
    <mergeCell ref="G31:I31"/>
    <mergeCell ref="J31:J32"/>
    <mergeCell ref="K31:K32"/>
    <mergeCell ref="L31:N31"/>
    <mergeCell ref="O31:O32"/>
    <mergeCell ref="P31:P3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6"/>
  <sheetViews>
    <sheetView workbookViewId="0">
      <selection activeCell="B4" sqref="B4"/>
    </sheetView>
  </sheetViews>
  <sheetFormatPr defaultRowHeight="14.4" x14ac:dyDescent="0.3"/>
  <cols>
    <col min="1" max="1" width="38" customWidth="1"/>
    <col min="2" max="2" width="18.88671875" bestFit="1" customWidth="1"/>
    <col min="3" max="3" width="10.44140625" bestFit="1" customWidth="1"/>
    <col min="4" max="4" width="10.5546875" customWidth="1"/>
    <col min="7" max="8" width="10.44140625" bestFit="1" customWidth="1"/>
    <col min="9" max="9" width="10.44140625" customWidth="1"/>
    <col min="16" max="16" width="18.88671875" bestFit="1" customWidth="1"/>
  </cols>
  <sheetData>
    <row r="3" spans="1:11" x14ac:dyDescent="0.3">
      <c r="A3" s="1" t="s">
        <v>397</v>
      </c>
    </row>
    <row r="4" spans="1:11" x14ac:dyDescent="0.3">
      <c r="A4" s="1"/>
    </row>
    <row r="5" spans="1:11" ht="16.2" x14ac:dyDescent="0.3">
      <c r="A5" s="34"/>
      <c r="B5" s="208" t="s">
        <v>270</v>
      </c>
      <c r="C5" s="208"/>
      <c r="D5" s="208"/>
      <c r="E5" s="208"/>
      <c r="F5" s="208"/>
      <c r="G5" s="208" t="s">
        <v>319</v>
      </c>
      <c r="H5" s="208"/>
      <c r="I5" s="208"/>
      <c r="J5" s="208"/>
      <c r="K5" s="208"/>
    </row>
    <row r="6" spans="1:11" x14ac:dyDescent="0.3">
      <c r="A6" s="33"/>
      <c r="B6" s="16" t="s">
        <v>7</v>
      </c>
      <c r="C6" t="s">
        <v>8</v>
      </c>
      <c r="D6" t="s">
        <v>9</v>
      </c>
      <c r="E6" s="35" t="s">
        <v>4</v>
      </c>
      <c r="F6" s="35" t="s">
        <v>5</v>
      </c>
      <c r="G6" t="s">
        <v>7</v>
      </c>
      <c r="H6" t="s">
        <v>8</v>
      </c>
      <c r="I6" t="s">
        <v>9</v>
      </c>
      <c r="J6" s="35" t="s">
        <v>4</v>
      </c>
      <c r="K6" s="35" t="s">
        <v>5</v>
      </c>
    </row>
    <row r="7" spans="1:11" ht="16.2" x14ac:dyDescent="0.3">
      <c r="A7" t="s">
        <v>220</v>
      </c>
      <c r="B7" s="9">
        <v>17.126529037071265</v>
      </c>
      <c r="C7" s="9">
        <v>13.974295440927655</v>
      </c>
      <c r="D7" s="9">
        <v>20.24595674863011</v>
      </c>
      <c r="E7" s="10">
        <f>AVERAGE(B7:D7)</f>
        <v>17.115593742209679</v>
      </c>
      <c r="F7" s="10">
        <f>(ABS(B7-E7)+ABS(C7-E7)+ABS(D7-E7))/3</f>
        <v>2.0941988675213472</v>
      </c>
      <c r="G7" s="9">
        <v>16.315689352550439</v>
      </c>
      <c r="H7" s="9">
        <v>13.369276920319372</v>
      </c>
      <c r="I7" s="9">
        <v>19.275520494425862</v>
      </c>
      <c r="J7" s="10">
        <f>AVERAGE(G7:I7)</f>
        <v>16.320162255765226</v>
      </c>
      <c r="K7" s="10">
        <f>(ABS(G7-J7)+ABS(H7-J7)+ABS(I7-J7))/3</f>
        <v>1.9702388257737589</v>
      </c>
    </row>
    <row r="8" spans="1:11" ht="16.2" x14ac:dyDescent="0.3">
      <c r="A8" t="s">
        <v>221</v>
      </c>
      <c r="B8" s="9">
        <v>32.253701231450258</v>
      </c>
      <c r="C8" s="9">
        <v>38.528764494672998</v>
      </c>
      <c r="D8" s="9">
        <v>23.410253495159154</v>
      </c>
      <c r="E8" s="10">
        <f>AVERAGE(B8:D8)</f>
        <v>31.397573073760807</v>
      </c>
      <c r="F8" s="10">
        <f>(ABS(B8-E8)+ABS(C8-E8)+ABS(D8-E8))/3</f>
        <v>5.3248797190677655</v>
      </c>
      <c r="G8" s="9">
        <v>30.654442631757128</v>
      </c>
      <c r="H8" s="9">
        <v>36.554511807836391</v>
      </c>
      <c r="I8" s="9">
        <v>22.248755129645428</v>
      </c>
      <c r="J8" s="10">
        <f>AVERAGE(G8:I8)</f>
        <v>29.819236523079653</v>
      </c>
      <c r="K8" s="10">
        <f>(ABS(G8-J8)+ABS(H8-J8)+ABS(I8-J8))/3</f>
        <v>5.046987595622813</v>
      </c>
    </row>
    <row r="9" spans="1:11" ht="16.2" x14ac:dyDescent="0.3">
      <c r="A9" t="s">
        <v>222</v>
      </c>
      <c r="B9" s="9">
        <v>37.490193446703096</v>
      </c>
      <c r="C9" s="9">
        <v>44.227610048555171</v>
      </c>
      <c r="D9" s="9">
        <v>31.164266351214966</v>
      </c>
      <c r="E9" s="10">
        <f>AVERAGE(B9:D9)</f>
        <v>37.627356615491074</v>
      </c>
      <c r="F9" s="10">
        <f>(ABS(B9-E9)+ABS(C9-E9)+ABS(D9-E9))/3</f>
        <v>4.4001689553760608</v>
      </c>
      <c r="G9" s="9">
        <v>35.667834783495408</v>
      </c>
      <c r="H9" s="9">
        <v>42.038008240748631</v>
      </c>
      <c r="I9" s="9">
        <v>29.977981853769855</v>
      </c>
      <c r="J9" s="10">
        <f>AVERAGE(G9:I9)</f>
        <v>35.8946082926713</v>
      </c>
      <c r="K9" s="10">
        <f>(ABS(G9-J9)+ABS(H9-J9)+ABS(I9-J9))/3</f>
        <v>4.0955999653848894</v>
      </c>
    </row>
    <row r="10" spans="1:11" ht="16.2" x14ac:dyDescent="0.3">
      <c r="A10" t="s">
        <v>223</v>
      </c>
      <c r="B10" s="9">
        <v>44.047692573904193</v>
      </c>
      <c r="C10" s="9">
        <v>51.950950138082177</v>
      </c>
      <c r="D10" s="9">
        <v>31.348597173567924</v>
      </c>
      <c r="E10" s="10">
        <f>AVERAGE(B10:D10)</f>
        <v>42.449079961851432</v>
      </c>
      <c r="F10" s="10">
        <f>(ABS(B10-E10)+ABS(C10-E10)+ABS(D10-E10))/3</f>
        <v>7.4003218588556718</v>
      </c>
      <c r="G10" s="9">
        <v>39.861274796396096</v>
      </c>
      <c r="H10" s="9">
        <v>46.544020044130562</v>
      </c>
      <c r="I10" s="9">
        <v>28.499127898993773</v>
      </c>
      <c r="J10" s="10">
        <f>AVERAGE(G10:I10)</f>
        <v>38.301474246506814</v>
      </c>
      <c r="K10" s="10">
        <f>(ABS(G10-J10)+ABS(H10-J10)+ABS(I10-J10))/3</f>
        <v>6.5348975650086905</v>
      </c>
    </row>
    <row r="11" spans="1:11" x14ac:dyDescent="0.3">
      <c r="A11" s="1"/>
    </row>
    <row r="12" spans="1:11" x14ac:dyDescent="0.3">
      <c r="A12" s="1"/>
    </row>
    <row r="13" spans="1:11" ht="16.2" x14ac:dyDescent="0.3">
      <c r="A13" s="160" t="s">
        <v>320</v>
      </c>
    </row>
    <row r="14" spans="1:11" x14ac:dyDescent="0.3">
      <c r="A14" s="1"/>
    </row>
    <row r="15" spans="1:11" x14ac:dyDescent="0.3">
      <c r="A15" t="s">
        <v>165</v>
      </c>
      <c r="B15" s="2"/>
    </row>
    <row r="16" spans="1:11" x14ac:dyDescent="0.3">
      <c r="A16" t="s">
        <v>167</v>
      </c>
      <c r="B16" s="2"/>
    </row>
    <row r="17" spans="1:20" x14ac:dyDescent="0.3">
      <c r="B17" s="2"/>
    </row>
    <row r="18" spans="1:20" ht="16.2" x14ac:dyDescent="0.3">
      <c r="A18" t="s">
        <v>216</v>
      </c>
    </row>
    <row r="20" spans="1:20" x14ac:dyDescent="0.3">
      <c r="B20" s="209" t="s">
        <v>7</v>
      </c>
      <c r="C20" s="209"/>
      <c r="D20" s="209"/>
      <c r="E20" s="209"/>
      <c r="F20" s="209"/>
      <c r="I20" s="209" t="s">
        <v>8</v>
      </c>
      <c r="J20" s="209"/>
      <c r="K20" s="209"/>
      <c r="L20" s="209"/>
      <c r="M20" s="209"/>
      <c r="P20" s="3" t="s">
        <v>9</v>
      </c>
      <c r="Q20" s="3"/>
      <c r="R20" s="3"/>
      <c r="S20" s="3"/>
      <c r="T20" s="3"/>
    </row>
    <row r="21" spans="1:20" x14ac:dyDescent="0.3">
      <c r="B21" s="16" t="s">
        <v>168</v>
      </c>
      <c r="C21" s="16" t="s">
        <v>169</v>
      </c>
      <c r="D21" s="16" t="s">
        <v>170</v>
      </c>
      <c r="I21" s="16" t="s">
        <v>168</v>
      </c>
      <c r="J21" s="16" t="s">
        <v>169</v>
      </c>
      <c r="K21" s="16" t="s">
        <v>170</v>
      </c>
      <c r="P21" s="16" t="s">
        <v>168</v>
      </c>
      <c r="Q21" s="16" t="s">
        <v>169</v>
      </c>
      <c r="R21" s="16" t="s">
        <v>170</v>
      </c>
    </row>
    <row r="22" spans="1:20" x14ac:dyDescent="0.3">
      <c r="B22" s="9">
        <v>135.114</v>
      </c>
      <c r="C22">
        <v>2842</v>
      </c>
      <c r="D22" s="29"/>
      <c r="I22" s="9">
        <v>135.114</v>
      </c>
      <c r="J22">
        <v>1754</v>
      </c>
      <c r="K22" s="29"/>
      <c r="P22" s="9">
        <v>135.114</v>
      </c>
      <c r="Q22">
        <v>3102</v>
      </c>
      <c r="R22" s="29"/>
    </row>
    <row r="23" spans="1:20" x14ac:dyDescent="0.3">
      <c r="B23" s="9">
        <v>139.11879999999999</v>
      </c>
      <c r="C23">
        <v>77364</v>
      </c>
      <c r="D23" s="29">
        <f>(C23*0.343550377443745)/(C22+(C23*0.343550377443745))</f>
        <v>0.9034004647550441</v>
      </c>
      <c r="I23" s="9">
        <v>139.11879999999999</v>
      </c>
      <c r="J23">
        <v>69836</v>
      </c>
      <c r="K23" s="29">
        <f>(J23*0.343550377443745)/(J22+(J23*0.343550377443745))</f>
        <v>0.93187339960139814</v>
      </c>
      <c r="P23" s="9">
        <v>139.11879999999999</v>
      </c>
      <c r="Q23">
        <v>81235</v>
      </c>
      <c r="R23" s="29">
        <f>(Q23*0.343550377443745)/(Q22+(Q23*0.343550377443745))</f>
        <v>0.89996876817154237</v>
      </c>
    </row>
    <row r="24" spans="1:20" x14ac:dyDescent="0.3">
      <c r="B24" s="9">
        <v>166.1206</v>
      </c>
      <c r="C24">
        <v>927</v>
      </c>
      <c r="D24" s="29"/>
      <c r="I24" s="9">
        <v>166.1206</v>
      </c>
      <c r="J24">
        <v>1225</v>
      </c>
      <c r="K24" s="29"/>
      <c r="P24" s="9">
        <v>166.1206</v>
      </c>
      <c r="Q24">
        <v>1005</v>
      </c>
      <c r="R24" s="29"/>
    </row>
    <row r="25" spans="1:20" x14ac:dyDescent="0.3">
      <c r="B25" s="9">
        <v>170.11940000000001</v>
      </c>
      <c r="C25">
        <v>10362</v>
      </c>
      <c r="D25" s="29">
        <f>(C25*1.77723970331311)/(C24+(C25*1.77723970331311))</f>
        <v>0.95207508622553461</v>
      </c>
      <c r="I25" s="9">
        <v>170.11940000000001</v>
      </c>
      <c r="J25">
        <v>15460</v>
      </c>
      <c r="K25" s="29">
        <f>(J25*1.77723970331311)/(J24+(J25*1.77723970331311))</f>
        <v>0.95731874742572909</v>
      </c>
      <c r="P25" s="9">
        <v>170.11940000000001</v>
      </c>
      <c r="Q25">
        <v>12036</v>
      </c>
      <c r="R25" s="29">
        <f>(Q25*1.77723970331311)/(Q24+(Q25*1.77723970331311))</f>
        <v>0.95512562895448783</v>
      </c>
    </row>
    <row r="26" spans="1:20" x14ac:dyDescent="0.3">
      <c r="B26" s="9">
        <v>191.17689999999999</v>
      </c>
      <c r="C26">
        <v>3069</v>
      </c>
      <c r="D26" s="29"/>
      <c r="I26" s="9">
        <v>191.17689999999999</v>
      </c>
      <c r="J26">
        <v>3118</v>
      </c>
      <c r="K26" s="29"/>
      <c r="P26" s="9">
        <v>191.17689999999999</v>
      </c>
      <c r="Q26">
        <v>3521</v>
      </c>
      <c r="R26" s="29"/>
    </row>
    <row r="27" spans="1:20" x14ac:dyDescent="0.3">
      <c r="B27" s="9">
        <v>195.17939999999999</v>
      </c>
      <c r="C27">
        <v>37199</v>
      </c>
      <c r="D27" s="29">
        <f>(C27*2.29667102757349)/(C26+(C27*2.29667102757349))</f>
        <v>0.96532315670498869</v>
      </c>
      <c r="I27" s="9">
        <v>195.17939999999999</v>
      </c>
      <c r="J27">
        <v>38245</v>
      </c>
      <c r="K27" s="29">
        <f>(J27*2.29667102757349)/(J26+(J27*2.29667102757349))</f>
        <v>0.96571900398919486</v>
      </c>
      <c r="P27" s="9">
        <v>195.17939999999999</v>
      </c>
      <c r="Q27">
        <v>42007</v>
      </c>
      <c r="R27" s="29">
        <f>(Q27*2.29667102757349)/(Q26+(Q27*2.29667102757349))</f>
        <v>0.96478903516860615</v>
      </c>
    </row>
    <row r="28" spans="1:20" x14ac:dyDescent="0.3">
      <c r="B28" s="9">
        <v>205.1909</v>
      </c>
      <c r="C28">
        <v>432</v>
      </c>
      <c r="D28" s="29"/>
      <c r="I28" s="9">
        <v>205.1909</v>
      </c>
      <c r="J28">
        <v>472</v>
      </c>
      <c r="K28" s="29"/>
      <c r="P28" s="9">
        <v>205.1909</v>
      </c>
      <c r="Q28">
        <v>657</v>
      </c>
      <c r="R28" s="29"/>
    </row>
    <row r="29" spans="1:20" x14ac:dyDescent="0.3">
      <c r="B29" s="9">
        <v>209.1883</v>
      </c>
      <c r="C29">
        <v>4953</v>
      </c>
      <c r="D29" s="29">
        <f>(C29*0.986523524207095)/(C28+(C29*0.986523524207095))</f>
        <v>0.9187702876849464</v>
      </c>
      <c r="I29" s="9">
        <v>209.1883</v>
      </c>
      <c r="J29">
        <v>5210</v>
      </c>
      <c r="K29" s="29">
        <f>(J29*0.986523524207095)/(J28+(J29*0.986523524207095))</f>
        <v>0.91589132787737149</v>
      </c>
      <c r="P29" s="9">
        <v>209.1883</v>
      </c>
      <c r="Q29">
        <v>7411</v>
      </c>
      <c r="R29" s="29">
        <f>(Q29*0.986523524207095)/(Q28+(Q29*0.986523524207095))</f>
        <v>0.91754648290378249</v>
      </c>
    </row>
    <row r="31" spans="1:20" ht="15" thickBot="1" x14ac:dyDescent="0.35">
      <c r="C31" t="s">
        <v>171</v>
      </c>
      <c r="D31" t="s">
        <v>172</v>
      </c>
      <c r="E31" t="s">
        <v>173</v>
      </c>
      <c r="F31" t="s">
        <v>174</v>
      </c>
      <c r="J31" t="s">
        <v>171</v>
      </c>
      <c r="K31" t="s">
        <v>172</v>
      </c>
      <c r="L31" t="s">
        <v>173</v>
      </c>
      <c r="M31" t="s">
        <v>174</v>
      </c>
      <c r="Q31" t="s">
        <v>171</v>
      </c>
      <c r="R31" t="s">
        <v>172</v>
      </c>
      <c r="S31" t="s">
        <v>173</v>
      </c>
      <c r="T31" t="s">
        <v>174</v>
      </c>
    </row>
    <row r="32" spans="1:20" ht="15" thickBot="1" x14ac:dyDescent="0.35">
      <c r="B32" t="s">
        <v>175</v>
      </c>
      <c r="C32">
        <v>931349</v>
      </c>
      <c r="D32" s="47">
        <f>(((C23*0.343550377443745)/(C22+(C23*0.343550377443745)))*733.092587+((C25*1.77723970331311)/(C24+(C25*1.77723970331311)))*595.4498616+((C27*2.29667102757349)/(C26+(C27*2.29667102757349)))*4175.842325+((C29*0.986523524207095)/(C28+(C29*0.986523524207095)))*485.2112546)/5989.596028</f>
        <v>0.95265592445698</v>
      </c>
      <c r="E32" s="48">
        <f>1-D32</f>
        <v>4.7344075543020003E-2</v>
      </c>
      <c r="F32" s="31">
        <f>SQRT((SUM(733.092587*(D23-D32)^2,595.4498616*(D25-D32)^2,4175.842325*(D27-D32)^2,485.2112546*(D29-D32)^2))/(5989.59602785596))</f>
        <v>2.2402254867828791E-2</v>
      </c>
      <c r="I32" t="s">
        <v>175</v>
      </c>
      <c r="J32">
        <v>759929</v>
      </c>
      <c r="K32" s="47">
        <f>(((J23*0.343550377443745)/(J22+(J23*0.343550377443745)))*733.092587+((J25*1.77723970331311)/(J24+(J25*1.77723970331311)))*595.4498616+((J27*2.29667102757349)/(J26+(J27*2.29667102757349)))*4175.842325+((J29*0.986523524207095)/(J28+(J29*0.986523524207095)))*485.2112546)/5989.596028</f>
        <v>0.95670489985231633</v>
      </c>
      <c r="L32" s="48">
        <f>1-K32</f>
        <v>4.3295100147683674E-2</v>
      </c>
      <c r="M32" s="31">
        <f>SQRT((SUM(733.092587*(K23-K32)^2,595.4498616*(K25-K32)^2,4175.842325*(K27-K32)^2,485.2112546*(K29-K32)^2))/(5989.59602785596))</f>
        <v>1.6343063369181985E-2</v>
      </c>
      <c r="P32" t="s">
        <v>175</v>
      </c>
      <c r="Q32">
        <v>1100985</v>
      </c>
      <c r="R32" s="47">
        <f>(((Q23*0.343550377443745)/(Q22+(Q23*0.343550377443745)))*733.092587+((Q25*1.77723970331311)/(Q24+(Q25*1.77723970331311)))*595.4498616+((Q27*2.29667102757349)/(Q26+(Q27*2.29667102757349)))*4175.842325+((Q29*0.986523524207095)/(Q28+(Q29*0.986523524207095)))*485.2112546)/5989.596028</f>
        <v>0.95206765151911565</v>
      </c>
      <c r="S32" s="48">
        <f>1-R32</f>
        <v>4.7932348480884346E-2</v>
      </c>
      <c r="T32" s="31">
        <f>SQRT((SUM(733.092587*(R23-R32)^2,595.4498616*(R25-R32)^2,4175.842325*(R27-R32)^2,485.2112546*(R29-R32)^2))/(5989.59602785596))</f>
        <v>2.3291859227085588E-2</v>
      </c>
    </row>
    <row r="33" spans="1:20" x14ac:dyDescent="0.3">
      <c r="B33" t="s">
        <v>176</v>
      </c>
      <c r="C33">
        <f>C32</f>
        <v>931349</v>
      </c>
      <c r="D33" s="27">
        <f>C33*D32</f>
        <v>887255.14258708386</v>
      </c>
      <c r="E33" s="27">
        <f>C33*E32</f>
        <v>44093.857412916135</v>
      </c>
      <c r="I33" t="s">
        <v>176</v>
      </c>
      <c r="J33">
        <f>J32</f>
        <v>759929</v>
      </c>
      <c r="K33">
        <f>J33*K32</f>
        <v>727027.79783987091</v>
      </c>
      <c r="L33" s="27">
        <f>K33*L32</f>
        <v>31476.741317627133</v>
      </c>
      <c r="P33" t="s">
        <v>176</v>
      </c>
      <c r="Q33">
        <f>Q32</f>
        <v>1100985</v>
      </c>
      <c r="R33">
        <f>Q33*R32</f>
        <v>1048212.2033077736</v>
      </c>
      <c r="S33">
        <f>Q33*S32</f>
        <v>52772.796692226453</v>
      </c>
    </row>
    <row r="34" spans="1:20" x14ac:dyDescent="0.3">
      <c r="B34" t="s">
        <v>321</v>
      </c>
      <c r="C34" s="9">
        <f>C33/399158</f>
        <v>2.3332840629525151</v>
      </c>
      <c r="D34" s="9">
        <f>D33/399158</f>
        <v>2.2228168860127666</v>
      </c>
      <c r="E34" s="9">
        <f>E33/399158</f>
        <v>0.11046717693974852</v>
      </c>
      <c r="I34" t="s">
        <v>321</v>
      </c>
      <c r="J34" s="9">
        <f>J33/399158</f>
        <v>1.9038300622811017</v>
      </c>
      <c r="K34" s="9">
        <f>K33/399158</f>
        <v>1.8214035490704705</v>
      </c>
      <c r="L34" s="9">
        <f>L33/399158</f>
        <v>7.8857849066352501E-2</v>
      </c>
      <c r="P34" t="s">
        <v>321</v>
      </c>
      <c r="Q34" s="9">
        <f>Q33/399158</f>
        <v>2.7582686555198692</v>
      </c>
      <c r="R34" s="9">
        <f>R33/399158</f>
        <v>2.6260583611195907</v>
      </c>
      <c r="S34" s="9">
        <f>S33/399158</f>
        <v>0.13221029440027873</v>
      </c>
    </row>
    <row r="35" spans="1:20" ht="15" thickBot="1" x14ac:dyDescent="0.35">
      <c r="B35" s="32" t="s">
        <v>322</v>
      </c>
      <c r="C35" s="37">
        <f>C34/136.238*1000</f>
        <v>17.126529037071265</v>
      </c>
      <c r="D35" s="37">
        <f>D34/136.238*1000</f>
        <v>16.315689352550439</v>
      </c>
      <c r="E35" s="37">
        <f>E34/136.238*1000</f>
        <v>0.81083968452082766</v>
      </c>
      <c r="F35" s="32"/>
      <c r="I35" s="32" t="s">
        <v>322</v>
      </c>
      <c r="J35" s="37">
        <f>J34/136.238*1000</f>
        <v>13.974295440927655</v>
      </c>
      <c r="K35" s="37">
        <f>K34/136.238*1000</f>
        <v>13.369276920319372</v>
      </c>
      <c r="L35" s="37">
        <f>L34/136.238*1000</f>
        <v>0.57882418316734319</v>
      </c>
      <c r="M35" s="32"/>
      <c r="P35" s="32" t="s">
        <v>322</v>
      </c>
      <c r="Q35" s="37">
        <f>Q34/136.238*1000</f>
        <v>20.24595674863011</v>
      </c>
      <c r="R35" s="37">
        <f>R34/136.238*1000</f>
        <v>19.275520494425862</v>
      </c>
      <c r="S35" s="37">
        <f>S34/136.238*1000</f>
        <v>0.97043625420425095</v>
      </c>
      <c r="T35" s="32"/>
    </row>
    <row r="37" spans="1:20" x14ac:dyDescent="0.3">
      <c r="I37" t="s">
        <v>82</v>
      </c>
    </row>
    <row r="38" spans="1:20" ht="16.2" x14ac:dyDescent="0.3">
      <c r="A38" t="s">
        <v>217</v>
      </c>
    </row>
    <row r="39" spans="1:20" x14ac:dyDescent="0.3">
      <c r="E39" t="s">
        <v>82</v>
      </c>
    </row>
    <row r="40" spans="1:20" x14ac:dyDescent="0.3">
      <c r="B40" s="209" t="s">
        <v>7</v>
      </c>
      <c r="C40" s="209"/>
      <c r="D40" s="209"/>
      <c r="E40" s="209"/>
      <c r="F40" s="209"/>
      <c r="I40" s="209" t="s">
        <v>8</v>
      </c>
      <c r="J40" s="209"/>
      <c r="K40" s="209"/>
      <c r="L40" s="209"/>
      <c r="M40" s="209"/>
      <c r="P40" s="3" t="s">
        <v>9</v>
      </c>
      <c r="Q40" s="3"/>
      <c r="R40" s="3"/>
      <c r="S40" s="3"/>
      <c r="T40" s="3"/>
    </row>
    <row r="41" spans="1:20" x14ac:dyDescent="0.3">
      <c r="B41" s="16" t="s">
        <v>168</v>
      </c>
      <c r="C41" s="16" t="s">
        <v>178</v>
      </c>
      <c r="D41" s="16" t="s">
        <v>170</v>
      </c>
      <c r="I41" s="16" t="s">
        <v>168</v>
      </c>
      <c r="J41" s="16" t="s">
        <v>178</v>
      </c>
      <c r="K41" s="16" t="s">
        <v>170</v>
      </c>
      <c r="P41" s="16" t="s">
        <v>168</v>
      </c>
      <c r="Q41" s="16" t="s">
        <v>178</v>
      </c>
      <c r="R41" s="16" t="s">
        <v>170</v>
      </c>
    </row>
    <row r="42" spans="1:20" x14ac:dyDescent="0.3">
      <c r="B42" s="9">
        <v>135.114</v>
      </c>
      <c r="C42">
        <v>5352</v>
      </c>
      <c r="I42" s="9">
        <v>135.114</v>
      </c>
      <c r="J42">
        <v>4785</v>
      </c>
      <c r="P42" s="9">
        <v>135.114</v>
      </c>
      <c r="Q42">
        <v>6357</v>
      </c>
    </row>
    <row r="43" spans="1:20" x14ac:dyDescent="0.3">
      <c r="B43" s="9">
        <v>139.11879999999999</v>
      </c>
      <c r="C43">
        <v>154670</v>
      </c>
      <c r="D43" s="29">
        <f>(C43*0.343550377443745)/(C42+(C43*0.343550377443745))</f>
        <v>0.90849551580922827</v>
      </c>
      <c r="E43" s="29"/>
      <c r="I43" s="9">
        <v>139.11879999999999</v>
      </c>
      <c r="J43">
        <v>139785</v>
      </c>
      <c r="K43" s="29">
        <f>(J43*0.343550377443745)/(J42+(J43*0.343550377443745))</f>
        <v>0.90938905415407878</v>
      </c>
      <c r="L43" s="29"/>
      <c r="P43" s="9">
        <v>139.11879999999999</v>
      </c>
      <c r="Q43">
        <v>168520</v>
      </c>
      <c r="R43" s="29">
        <f>(Q43*0.343550377443745)/(Q42+(Q43*0.343550377443745))</f>
        <v>0.90106161433608012</v>
      </c>
      <c r="S43" s="29"/>
    </row>
    <row r="44" spans="1:20" x14ac:dyDescent="0.3">
      <c r="B44" s="9">
        <v>166.1206</v>
      </c>
      <c r="C44">
        <v>2764</v>
      </c>
      <c r="D44" s="29"/>
      <c r="E44" s="29"/>
      <c r="I44" s="9">
        <v>166.1206</v>
      </c>
      <c r="J44">
        <v>3004</v>
      </c>
      <c r="K44" s="29"/>
      <c r="L44" s="29"/>
      <c r="P44" s="9">
        <v>166.1206</v>
      </c>
      <c r="Q44">
        <v>3230</v>
      </c>
      <c r="R44" s="29"/>
      <c r="S44" s="29"/>
    </row>
    <row r="45" spans="1:20" x14ac:dyDescent="0.3">
      <c r="B45" s="9">
        <v>170.11940000000001</v>
      </c>
      <c r="C45">
        <v>21299</v>
      </c>
      <c r="D45" s="29">
        <f>(C45*1.77723970331311)/(C44+(C45*1.77723970331311))</f>
        <v>0.93195039405254199</v>
      </c>
      <c r="E45" s="29"/>
      <c r="I45" s="9">
        <v>170.11940000000001</v>
      </c>
      <c r="J45">
        <v>20899</v>
      </c>
      <c r="K45" s="29">
        <f>(J45*1.77723970331311)/(J44+(J45*1.77723970331311))</f>
        <v>0.9251741107268775</v>
      </c>
      <c r="L45" s="29"/>
      <c r="P45" s="9">
        <v>170.11940000000001</v>
      </c>
      <c r="Q45">
        <v>27412</v>
      </c>
      <c r="R45" s="29">
        <f>(Q45*1.77723970331311)/(Q44+(Q45*1.77723970331311))</f>
        <v>0.93782207245735538</v>
      </c>
      <c r="S45" s="29"/>
    </row>
    <row r="46" spans="1:20" x14ac:dyDescent="0.3">
      <c r="B46" s="9">
        <v>191.17689999999999</v>
      </c>
      <c r="C46">
        <v>5116</v>
      </c>
      <c r="D46" s="29"/>
      <c r="E46" s="29"/>
      <c r="I46" s="9">
        <v>191.17689999999999</v>
      </c>
      <c r="J46">
        <v>5514</v>
      </c>
      <c r="K46" s="29"/>
      <c r="L46" s="29"/>
      <c r="P46" s="9">
        <v>191.17689999999999</v>
      </c>
      <c r="Q46">
        <v>6085</v>
      </c>
      <c r="R46" s="29"/>
      <c r="S46" s="29"/>
    </row>
    <row r="47" spans="1:20" x14ac:dyDescent="0.3">
      <c r="B47" s="9">
        <v>195.17939999999999</v>
      </c>
      <c r="C47">
        <v>59042</v>
      </c>
      <c r="D47" s="29">
        <f>(C47*2.29667102757349)/(C46+(C47*2.29667102757349))</f>
        <v>0.96364309564864048</v>
      </c>
      <c r="E47" s="29"/>
      <c r="I47" s="9">
        <v>195.17939999999999</v>
      </c>
      <c r="J47">
        <v>60123</v>
      </c>
      <c r="K47" s="29">
        <f>(J47*2.29667102757349)/(J46+(J47*2.29667102757349))</f>
        <v>0.96160080283241089</v>
      </c>
      <c r="L47" s="29"/>
      <c r="P47" s="9">
        <v>195.17939999999999</v>
      </c>
      <c r="Q47">
        <v>71203</v>
      </c>
      <c r="R47" s="29">
        <f>(Q47*2.29667102757349)/(Q46+(Q47*2.29667102757349))</f>
        <v>0.96412460710961956</v>
      </c>
      <c r="S47" s="29"/>
    </row>
    <row r="48" spans="1:20" x14ac:dyDescent="0.3">
      <c r="B48" s="9">
        <v>205.1909</v>
      </c>
      <c r="C48">
        <v>666</v>
      </c>
      <c r="D48" s="29"/>
      <c r="E48" s="29"/>
      <c r="I48" s="9">
        <v>205.1909</v>
      </c>
      <c r="J48">
        <v>842</v>
      </c>
      <c r="K48" s="29"/>
      <c r="L48" s="29"/>
      <c r="P48" s="9">
        <v>205.1909</v>
      </c>
      <c r="Q48">
        <v>799</v>
      </c>
      <c r="R48" s="29"/>
      <c r="S48" s="29"/>
    </row>
    <row r="49" spans="1:20" x14ac:dyDescent="0.3">
      <c r="B49" s="9">
        <v>209.1883</v>
      </c>
      <c r="C49">
        <v>8045</v>
      </c>
      <c r="D49" s="29">
        <f>(C49*0.986523524207095)/(C48+(C49*0.986523524207095))</f>
        <v>0.92258138089462383</v>
      </c>
      <c r="E49" s="29"/>
      <c r="I49" s="9">
        <v>209.1883</v>
      </c>
      <c r="J49">
        <v>10785</v>
      </c>
      <c r="K49" s="29">
        <f>(J49*0.986523524207095)/(J48+(J49*0.986523524207095))</f>
        <v>0.92666563214362174</v>
      </c>
      <c r="L49" s="29"/>
      <c r="P49" s="9">
        <v>209.1883</v>
      </c>
      <c r="Q49">
        <v>9584</v>
      </c>
      <c r="R49" s="29">
        <f>(Q49*0.986523524207095)/(Q48+(Q49*0.986523524207095))</f>
        <v>0.92207798380455686</v>
      </c>
      <c r="S49" s="29"/>
    </row>
    <row r="51" spans="1:20" ht="15" thickBot="1" x14ac:dyDescent="0.35">
      <c r="C51" t="s">
        <v>171</v>
      </c>
      <c r="D51" t="s">
        <v>172</v>
      </c>
      <c r="E51" t="s">
        <v>173</v>
      </c>
      <c r="F51" t="s">
        <v>174</v>
      </c>
      <c r="J51" t="s">
        <v>171</v>
      </c>
      <c r="K51" t="s">
        <v>172</v>
      </c>
      <c r="L51" t="s">
        <v>173</v>
      </c>
      <c r="M51" t="s">
        <v>174</v>
      </c>
      <c r="Q51" t="s">
        <v>171</v>
      </c>
      <c r="R51" t="s">
        <v>172</v>
      </c>
      <c r="S51" t="s">
        <v>173</v>
      </c>
      <c r="T51" t="s">
        <v>174</v>
      </c>
    </row>
    <row r="52" spans="1:20" ht="15" thickBot="1" x14ac:dyDescent="0.35">
      <c r="B52" t="s">
        <v>175</v>
      </c>
      <c r="C52">
        <v>1753972</v>
      </c>
      <c r="D52" s="47">
        <f>(((C43*0.343550377443745)/(C42+(C43*0.343550377443745)))*733.092587+((C45*1.77723970331311)/(C44+(C45*1.77723970331311)))*595.4498616+((C47*2.29667102757349)/(C46+(C47*2.29667102757349)))*4175.842325+((C49*0.986523524207095)/(C48+(C49*0.986523524207095)))*485.2112546)/5989.596028</f>
        <v>0.95041627662459693</v>
      </c>
      <c r="E52" s="48">
        <f>1-D52</f>
        <v>4.9583723375403066E-2</v>
      </c>
      <c r="F52" s="31">
        <f>SQRT((SUM(733.092587*(D43-D52)^2,595.4498616*(D45-D52)^2,4175.842325*(D47-D52)^2,485.2112546*(D49-D52)^2))/(5989.59602785596))</f>
        <v>2.0826047872503518E-2</v>
      </c>
      <c r="I52" t="s">
        <v>175</v>
      </c>
      <c r="J52">
        <v>2095213</v>
      </c>
      <c r="K52" s="47">
        <f>(((J43*0.343550377443745)/(J42+(J43*0.343550377443745)))*733.092587+((J45*1.77723970331311)/(J44+(J45*1.77723970331311)))*595.4498616+((J47*2.29667102757349)/(J46+(J47*2.29667102757349)))*4175.842325+((J49*0.986523524207095)/(J48+(J49*0.986523524207095)))*485.2112546)/5989.596028</f>
        <v>0.94875899311254674</v>
      </c>
      <c r="L52" s="48">
        <f>1-K52</f>
        <v>5.1241006887453255E-2</v>
      </c>
      <c r="M52" s="31">
        <f>SQRT((SUM(733.092587*(K43-K52)^2,595.4498616*(K45-K52)^2,4175.842325*(K47-K52)^2,485.2112546*(K49-K52)^2))/(5989.59602785596))</f>
        <v>1.9988112558035769E-2</v>
      </c>
      <c r="P52" t="s">
        <v>175</v>
      </c>
      <c r="Q52">
        <v>1273061</v>
      </c>
      <c r="R52" s="47">
        <f>(((Q43*0.343550377443745)/(Q42+(Q43*0.343550377443745)))*733.092587+((Q45*1.77723970331311)/(Q44+(Q45*1.77723970331311)))*595.4498616+((Q47*2.29667102757349)/(Q46+(Q47*2.29667102757349)))*4175.842325+((Q49*0.986523524207095)/(Q48+(Q49*0.986523524207095)))*485.2112546)/5989.596028</f>
        <v>0.95038505816462426</v>
      </c>
      <c r="S52" s="48">
        <f>1-R52</f>
        <v>4.9614941835375737E-2</v>
      </c>
      <c r="T52" s="31">
        <f>SQRT((SUM(733.092587*(R43-R52)^2,595.4498616*(R45-R52)^2,4175.842325*(R47-R52)^2,485.2112546*(R49-R52)^2))/(5989.59602785596))</f>
        <v>2.2582606190816337E-2</v>
      </c>
    </row>
    <row r="53" spans="1:20" x14ac:dyDescent="0.3">
      <c r="B53" t="s">
        <v>176</v>
      </c>
      <c r="C53">
        <f>C52</f>
        <v>1753972</v>
      </c>
      <c r="D53">
        <f>C53*D52</f>
        <v>1667003.5375437976</v>
      </c>
      <c r="E53" s="27">
        <f>C53*E52</f>
        <v>86968.462456202469</v>
      </c>
      <c r="I53" t="s">
        <v>176</v>
      </c>
      <c r="J53">
        <f>J52</f>
        <v>2095213</v>
      </c>
      <c r="K53">
        <f>J53*K52</f>
        <v>1987852.1762363184</v>
      </c>
      <c r="L53" s="27">
        <f>J53*L52</f>
        <v>107360.8237636816</v>
      </c>
      <c r="P53" t="s">
        <v>176</v>
      </c>
      <c r="Q53">
        <f>Q52</f>
        <v>1273061</v>
      </c>
      <c r="R53">
        <f>Q53*R52</f>
        <v>1209898.1525321146</v>
      </c>
      <c r="S53" s="27">
        <f>Q53*S52</f>
        <v>63162.847467885273</v>
      </c>
    </row>
    <row r="54" spans="1:20" x14ac:dyDescent="0.3">
      <c r="B54" t="s">
        <v>321</v>
      </c>
      <c r="C54" s="9">
        <f>C53/399158</f>
        <v>4.3941797483703198</v>
      </c>
      <c r="D54" s="9">
        <f>D53/399158</f>
        <v>4.1762999552653275</v>
      </c>
      <c r="E54" s="9">
        <f>E53/399158</f>
        <v>0.21787979310499217</v>
      </c>
      <c r="I54" t="s">
        <v>321</v>
      </c>
      <c r="J54" s="9">
        <f>J53/399158</f>
        <v>5.2490818172252593</v>
      </c>
      <c r="K54" s="9">
        <f>K53/399158</f>
        <v>4.9801135796760141</v>
      </c>
      <c r="L54" s="9">
        <f>L53/399158</f>
        <v>0.26896823754924515</v>
      </c>
      <c r="P54" t="s">
        <v>321</v>
      </c>
      <c r="Q54" s="9">
        <f>Q53/399158</f>
        <v>3.1893661156734927</v>
      </c>
      <c r="R54" s="9">
        <f>R53/399158</f>
        <v>3.0311259013526337</v>
      </c>
      <c r="S54" s="9">
        <f>S53/399158</f>
        <v>0.15824021432085858</v>
      </c>
    </row>
    <row r="55" spans="1:20" ht="15" thickBot="1" x14ac:dyDescent="0.35">
      <c r="B55" s="32" t="s">
        <v>322</v>
      </c>
      <c r="C55" s="37">
        <f>C54/136.238*1000</f>
        <v>32.253701231450258</v>
      </c>
      <c r="D55" s="37">
        <f>D54/136.238*1000</f>
        <v>30.654442631757128</v>
      </c>
      <c r="E55" s="37">
        <f>E54/136.238*1000</f>
        <v>1.5992585996931263</v>
      </c>
      <c r="F55" s="32"/>
      <c r="I55" s="32" t="s">
        <v>322</v>
      </c>
      <c r="J55" s="37">
        <f>J54/136.238*1000</f>
        <v>38.528764494672998</v>
      </c>
      <c r="K55" s="37">
        <f>K54/136.238*1000</f>
        <v>36.554511807836391</v>
      </c>
      <c r="L55" s="37">
        <f>L54/136.238*1000</f>
        <v>1.9742526868366033</v>
      </c>
      <c r="M55" s="32"/>
      <c r="P55" s="32" t="s">
        <v>322</v>
      </c>
      <c r="Q55" s="37">
        <f>Q54/136.238*1000</f>
        <v>23.410253495159154</v>
      </c>
      <c r="R55" s="37">
        <f>R54/136.238*1000</f>
        <v>22.248755129645428</v>
      </c>
      <c r="S55" s="37">
        <f>S54/136.238*1000</f>
        <v>1.161498365513723</v>
      </c>
      <c r="T55" s="32"/>
    </row>
    <row r="58" spans="1:20" ht="16.2" x14ac:dyDescent="0.3">
      <c r="A58" t="s">
        <v>218</v>
      </c>
    </row>
    <row r="60" spans="1:20" x14ac:dyDescent="0.3">
      <c r="B60" s="209" t="s">
        <v>7</v>
      </c>
      <c r="C60" s="209"/>
      <c r="D60" s="209"/>
      <c r="E60" s="209"/>
      <c r="F60" s="209"/>
      <c r="I60" s="209" t="s">
        <v>8</v>
      </c>
      <c r="J60" s="209"/>
      <c r="K60" s="209"/>
      <c r="L60" s="209"/>
      <c r="M60" s="209"/>
      <c r="P60" s="3" t="s">
        <v>9</v>
      </c>
      <c r="Q60" s="3"/>
      <c r="R60" s="3"/>
      <c r="S60" s="3"/>
      <c r="T60" s="3"/>
    </row>
    <row r="61" spans="1:20" x14ac:dyDescent="0.3">
      <c r="B61" s="16" t="s">
        <v>168</v>
      </c>
      <c r="C61" s="16" t="s">
        <v>178</v>
      </c>
      <c r="D61" s="16" t="s">
        <v>170</v>
      </c>
      <c r="I61" s="16" t="s">
        <v>168</v>
      </c>
      <c r="J61" s="16" t="s">
        <v>178</v>
      </c>
      <c r="K61" s="16" t="s">
        <v>170</v>
      </c>
      <c r="P61" s="16" t="s">
        <v>168</v>
      </c>
      <c r="Q61" s="16" t="s">
        <v>178</v>
      </c>
      <c r="R61" s="16" t="s">
        <v>170</v>
      </c>
    </row>
    <row r="62" spans="1:20" x14ac:dyDescent="0.3">
      <c r="B62" s="9">
        <v>135.114</v>
      </c>
      <c r="C62">
        <v>5283</v>
      </c>
      <c r="D62" s="29"/>
      <c r="I62" s="9">
        <v>135.114</v>
      </c>
      <c r="J62">
        <v>6308</v>
      </c>
      <c r="K62" s="29"/>
      <c r="P62" s="9">
        <v>135.114</v>
      </c>
      <c r="Q62">
        <v>3998</v>
      </c>
      <c r="R62" s="29"/>
    </row>
    <row r="63" spans="1:20" x14ac:dyDescent="0.3">
      <c r="B63" s="9">
        <v>139.11879999999999</v>
      </c>
      <c r="C63">
        <v>171942</v>
      </c>
      <c r="D63" s="29">
        <f>(C63*0.343550377443745)/(C62+(C63*0.343550377443745))</f>
        <v>0.9179068678491441</v>
      </c>
      <c r="I63" s="9">
        <v>139.11879999999999</v>
      </c>
      <c r="J63">
        <v>192357</v>
      </c>
      <c r="K63" s="29">
        <f>(J63*0.343550377443745)/(J62+(J63*0.343550377443745))</f>
        <v>0.91286368493214565</v>
      </c>
      <c r="P63" s="9">
        <v>139.11879999999999</v>
      </c>
      <c r="Q63">
        <v>123035</v>
      </c>
      <c r="R63" s="29">
        <f>(Q63*0.343550377443745)/(Q62+(Q63*0.343550377443745))</f>
        <v>0.91358799715043182</v>
      </c>
    </row>
    <row r="64" spans="1:20" x14ac:dyDescent="0.3">
      <c r="B64" s="9">
        <v>166.1206</v>
      </c>
      <c r="C64">
        <v>3349</v>
      </c>
      <c r="D64" s="29"/>
      <c r="I64" s="9">
        <v>166.1206</v>
      </c>
      <c r="J64">
        <v>3070</v>
      </c>
      <c r="K64" s="29"/>
      <c r="P64" s="9">
        <v>166.1206</v>
      </c>
      <c r="Q64">
        <v>2963</v>
      </c>
      <c r="R64" s="29"/>
    </row>
    <row r="65" spans="1:20" x14ac:dyDescent="0.3">
      <c r="B65" s="9">
        <v>170.11940000000001</v>
      </c>
      <c r="C65">
        <v>22008</v>
      </c>
      <c r="D65" s="29">
        <f>(C65*1.77723970331311)/(C64+(C65*1.77723970331311))</f>
        <v>0.92113039319336587</v>
      </c>
      <c r="I65" s="9">
        <v>170.11940000000001</v>
      </c>
      <c r="J65">
        <v>27041</v>
      </c>
      <c r="K65" s="29">
        <f>(J65*1.77723970331311)/(J64+(J65*1.77723970331311))</f>
        <v>0.93995502159827982</v>
      </c>
      <c r="P65" s="9">
        <v>170.11940000000001</v>
      </c>
      <c r="Q65">
        <v>185237</v>
      </c>
      <c r="R65" s="29">
        <f>(Q65*1.77723970331311)/(Q64+(Q65*1.77723970331311))</f>
        <v>0.99107996409777277</v>
      </c>
    </row>
    <row r="66" spans="1:20" x14ac:dyDescent="0.3">
      <c r="B66" s="9">
        <v>191.17689999999999</v>
      </c>
      <c r="C66">
        <v>5871</v>
      </c>
      <c r="D66" s="29"/>
      <c r="I66" s="9">
        <v>191.17689999999999</v>
      </c>
      <c r="J66">
        <v>6574</v>
      </c>
      <c r="K66" s="29"/>
      <c r="P66" s="9">
        <v>191.17689999999999</v>
      </c>
      <c r="Q66">
        <v>4422</v>
      </c>
      <c r="R66" s="29"/>
    </row>
    <row r="67" spans="1:20" x14ac:dyDescent="0.3">
      <c r="B67" s="9">
        <v>195.17939999999999</v>
      </c>
      <c r="C67">
        <v>77864</v>
      </c>
      <c r="D67" s="29">
        <f>(C67*2.29667102757349)/(C66+(C67*2.29667102757349))</f>
        <v>0.96821314557212923</v>
      </c>
      <c r="I67" s="9">
        <v>195.17939999999999</v>
      </c>
      <c r="J67">
        <v>79011</v>
      </c>
      <c r="K67" s="29">
        <f>(J67*2.29667102757349)/(J66+(J67*2.29667102757349))</f>
        <v>0.96503866067652821</v>
      </c>
      <c r="P67" s="9">
        <v>195.17939999999999</v>
      </c>
      <c r="Q67">
        <v>69785</v>
      </c>
      <c r="R67" s="29">
        <f>(Q67*2.29667102757349)/(Q66+(Q67*2.29667102757349))</f>
        <v>0.97315039945702653</v>
      </c>
    </row>
    <row r="68" spans="1:20" x14ac:dyDescent="0.3">
      <c r="B68" s="9">
        <v>205.1909</v>
      </c>
      <c r="C68">
        <v>867</v>
      </c>
      <c r="D68" s="29"/>
      <c r="I68" s="9">
        <v>205.1909</v>
      </c>
      <c r="J68">
        <v>927</v>
      </c>
      <c r="K68" s="29"/>
      <c r="P68" s="9">
        <v>205.1909</v>
      </c>
      <c r="Q68">
        <v>745</v>
      </c>
      <c r="R68" s="29"/>
    </row>
    <row r="69" spans="1:20" x14ac:dyDescent="0.3">
      <c r="B69" s="9">
        <v>209.1883</v>
      </c>
      <c r="C69">
        <v>7439</v>
      </c>
      <c r="D69" s="29">
        <f>(C69*0.986523524207095)/(C68+(C69*0.986523524207095))</f>
        <v>0.89434236250822086</v>
      </c>
      <c r="I69" s="9">
        <v>209.1883</v>
      </c>
      <c r="J69">
        <v>8017</v>
      </c>
      <c r="K69" s="29">
        <f>(J69*0.986523524207095)/(J68+(J69*0.986523524207095))</f>
        <v>0.89508778954457069</v>
      </c>
      <c r="P69" s="9">
        <v>209.1883</v>
      </c>
      <c r="Q69">
        <v>7005</v>
      </c>
      <c r="R69" s="29">
        <f>(Q69*0.986523524207095)/(Q68+(Q69*0.986523524207095))</f>
        <v>0.90268558127290643</v>
      </c>
    </row>
    <row r="71" spans="1:20" ht="15" thickBot="1" x14ac:dyDescent="0.35">
      <c r="C71" t="s">
        <v>171</v>
      </c>
      <c r="D71" t="s">
        <v>172</v>
      </c>
      <c r="E71" t="s">
        <v>173</v>
      </c>
      <c r="F71" t="s">
        <v>174</v>
      </c>
      <c r="J71" t="s">
        <v>171</v>
      </c>
      <c r="K71" t="s">
        <v>172</v>
      </c>
      <c r="L71" t="s">
        <v>173</v>
      </c>
      <c r="M71" t="s">
        <v>174</v>
      </c>
      <c r="Q71" t="s">
        <v>171</v>
      </c>
      <c r="R71" t="s">
        <v>172</v>
      </c>
      <c r="S71" t="s">
        <v>173</v>
      </c>
      <c r="T71" t="s">
        <v>174</v>
      </c>
    </row>
    <row r="72" spans="1:20" ht="15" thickBot="1" x14ac:dyDescent="0.35">
      <c r="B72" t="s">
        <v>175</v>
      </c>
      <c r="C72">
        <v>2038735</v>
      </c>
      <c r="D72" s="47">
        <f>(((C63*0.343550377443745)/(C62+(C63*0.343550377443745)))*733.092587+((C65*1.77723970331311)/(C64+(C65*1.77723970331311)))*595.4498616+((C67*2.29667102757349)/(C66+(C67*2.29667102757349)))*4175.842325+((C69*0.986523524207095)/(C68+(C69*0.986523524207095)))*485.2112546)/5989.596028</f>
        <v>0.95139105734947993</v>
      </c>
      <c r="E72" s="48">
        <f>1-D72</f>
        <v>4.8608942650520071E-2</v>
      </c>
      <c r="F72" s="31">
        <f>SQRT((SUM(733.092587*(D63-D72)^2,595.4498616*(D65-D72)^2,4175.842325*(D67-D72)^2,485.2112546*(D69-D72)^2))/(5989.59602785596))</f>
        <v>2.6252626015488653E-2</v>
      </c>
      <c r="I72" t="s">
        <v>175</v>
      </c>
      <c r="J72">
        <v>2405119</v>
      </c>
      <c r="K72" s="47">
        <f>(((J63*0.343550377443745)/(J62+(J63*0.343550377443745)))*733.092587+((J65*1.77723970331311)/(J64+(J65*1.77723970331311)))*595.4498616+((J67*2.29667102757349)/(J66+(J67*2.29667102757349)))*4175.842325+((J69*0.986523524207095)/(J68+(J69*0.986523524207095)))*485.2112546)/5989.596028</f>
        <v>0.95049242304970383</v>
      </c>
      <c r="L72" s="48">
        <f>1-K72</f>
        <v>4.9507576950296173E-2</v>
      </c>
      <c r="M72" s="31">
        <f>SQRT((SUM(733.092587*(K63-K72)^2,595.4498616*(K65-K72)^2,4175.842325*(K67-K72)^2,485.2112546*(K69-K72)^2))/(5989.59602785596))</f>
        <v>2.409418244449725E-2</v>
      </c>
      <c r="P72" t="s">
        <v>175</v>
      </c>
      <c r="Q72">
        <v>1694728</v>
      </c>
      <c r="R72" s="47">
        <f>(((Q63*0.343550377443745)/(Q62+(Q63*0.343550377443745)))*733.092587+((Q65*1.77723970331311)/(Q64+(Q65*1.77723970331311)))*595.4498616+((Q67*2.29667102757349)/(Q66+(Q67*2.29667102757349)))*4175.842325+((Q69*0.986523524207095)/(Q68+(Q69*0.986523524207095)))*485.2112546)/5989.596028</f>
        <v>0.96193446416880379</v>
      </c>
      <c r="S72" s="48">
        <f>1-R72</f>
        <v>3.8065535831196207E-2</v>
      </c>
      <c r="T72" s="31">
        <f>SQRT((SUM(733.092587*(R63-R72)^2,595.4498616*(R65-R72)^2,4175.842325*(R67-R72)^2,485.2112546*(R69-R72)^2))/(5989.59602785596))</f>
        <v>2.7250881098696417E-2</v>
      </c>
    </row>
    <row r="73" spans="1:20" x14ac:dyDescent="0.3">
      <c r="B73" t="s">
        <v>176</v>
      </c>
      <c r="C73">
        <f>C72</f>
        <v>2038735</v>
      </c>
      <c r="D73">
        <f>C73*D72</f>
        <v>1939634.2473053921</v>
      </c>
      <c r="E73" s="27">
        <f>C73*E72</f>
        <v>99100.752694608032</v>
      </c>
      <c r="I73" t="s">
        <v>176</v>
      </c>
      <c r="J73">
        <f>J72</f>
        <v>2405119</v>
      </c>
      <c r="K73">
        <f>J73*K72</f>
        <v>2286047.3860328807</v>
      </c>
      <c r="L73" s="27">
        <f>J73*L72</f>
        <v>119071.61396711938</v>
      </c>
      <c r="P73" t="s">
        <v>176</v>
      </c>
      <c r="Q73">
        <f>Q72</f>
        <v>1694728</v>
      </c>
      <c r="R73">
        <f>Q73*R72</f>
        <v>1630217.2705918686</v>
      </c>
      <c r="S73" s="27">
        <f>Q73*S72</f>
        <v>64510.729408131483</v>
      </c>
    </row>
    <row r="74" spans="1:20" x14ac:dyDescent="0.3">
      <c r="B74" t="s">
        <v>321</v>
      </c>
      <c r="C74" s="9">
        <f>C73/399158</f>
        <v>5.1075889747919367</v>
      </c>
      <c r="D74" s="9">
        <f>D73/399158</f>
        <v>4.8593144752338473</v>
      </c>
      <c r="E74" s="9">
        <f>E73/399158</f>
        <v>0.24827449955808986</v>
      </c>
      <c r="I74" t="s">
        <v>321</v>
      </c>
      <c r="J74" s="9">
        <f>J73/399158</f>
        <v>6.025481137795059</v>
      </c>
      <c r="K74" s="9">
        <f>K73/399158</f>
        <v>5.7271741667031115</v>
      </c>
      <c r="L74" s="9">
        <f>L73/399158</f>
        <v>0.29830697109194698</v>
      </c>
      <c r="P74" t="s">
        <v>321</v>
      </c>
      <c r="Q74" s="9">
        <f>Q73/399158</f>
        <v>4.2457573191568247</v>
      </c>
      <c r="R74" s="9">
        <f>R73/399158</f>
        <v>4.0841402917938971</v>
      </c>
      <c r="S74" s="9">
        <f>S73/399158</f>
        <v>0.16161702736292766</v>
      </c>
    </row>
    <row r="75" spans="1:20" ht="15" thickBot="1" x14ac:dyDescent="0.35">
      <c r="B75" s="32" t="s">
        <v>322</v>
      </c>
      <c r="C75" s="37">
        <f>C74/136.238*1000</f>
        <v>37.490193446703096</v>
      </c>
      <c r="D75" s="37">
        <f>D74/136.238*1000</f>
        <v>35.667834783495408</v>
      </c>
      <c r="E75" s="37">
        <f>E74/136.238*1000</f>
        <v>1.8223586632076942</v>
      </c>
      <c r="F75" s="32"/>
      <c r="I75" s="32" t="s">
        <v>322</v>
      </c>
      <c r="J75" s="37">
        <f>J74/136.238*1000</f>
        <v>44.227610048555171</v>
      </c>
      <c r="K75" s="37">
        <f>K74/136.238*1000</f>
        <v>42.038008240748631</v>
      </c>
      <c r="L75" s="37">
        <f>L74/136.238*1000</f>
        <v>2.1896018078065373</v>
      </c>
      <c r="M75" s="32"/>
      <c r="P75" s="32" t="s">
        <v>322</v>
      </c>
      <c r="Q75" s="37">
        <f>Q74/136.238*1000</f>
        <v>31.164266351214966</v>
      </c>
      <c r="R75" s="37">
        <f>R74/136.238*1000</f>
        <v>29.977981853769855</v>
      </c>
      <c r="S75" s="37">
        <f>S74/136.238*1000</f>
        <v>1.1862844974451157</v>
      </c>
      <c r="T75" s="32"/>
    </row>
    <row r="79" spans="1:20" ht="16.2" x14ac:dyDescent="0.3">
      <c r="A79" t="s">
        <v>219</v>
      </c>
    </row>
    <row r="81" spans="2:20" x14ac:dyDescent="0.3">
      <c r="B81" s="209" t="s">
        <v>7</v>
      </c>
      <c r="C81" s="209"/>
      <c r="D81" s="209"/>
      <c r="E81" s="209"/>
      <c r="F81" s="209"/>
      <c r="I81" s="209" t="s">
        <v>8</v>
      </c>
      <c r="J81" s="209"/>
      <c r="K81" s="209"/>
      <c r="L81" s="209"/>
      <c r="M81" s="209"/>
      <c r="P81" s="3" t="s">
        <v>9</v>
      </c>
      <c r="Q81" s="3"/>
      <c r="R81" s="3"/>
      <c r="S81" s="3"/>
      <c r="T81" s="3"/>
    </row>
    <row r="82" spans="2:20" x14ac:dyDescent="0.3">
      <c r="B82" s="16" t="s">
        <v>168</v>
      </c>
      <c r="C82" s="16" t="s">
        <v>178</v>
      </c>
      <c r="D82" s="16" t="s">
        <v>170</v>
      </c>
      <c r="I82" s="16" t="s">
        <v>168</v>
      </c>
      <c r="J82" s="16" t="s">
        <v>178</v>
      </c>
      <c r="K82" s="16" t="s">
        <v>170</v>
      </c>
      <c r="P82" s="16" t="s">
        <v>168</v>
      </c>
      <c r="Q82" s="16" t="s">
        <v>178</v>
      </c>
      <c r="R82" s="16" t="s">
        <v>170</v>
      </c>
    </row>
    <row r="83" spans="2:20" x14ac:dyDescent="0.3">
      <c r="B83" s="9">
        <v>135.114</v>
      </c>
      <c r="C83">
        <v>5487</v>
      </c>
      <c r="D83" s="29"/>
      <c r="E83" s="29"/>
      <c r="I83" s="9">
        <v>135.114</v>
      </c>
      <c r="J83">
        <v>4985</v>
      </c>
      <c r="K83" s="29"/>
      <c r="L83" s="29"/>
      <c r="P83" s="9">
        <v>135.114</v>
      </c>
      <c r="Q83">
        <v>6625</v>
      </c>
      <c r="R83" s="29"/>
      <c r="S83" s="29"/>
    </row>
    <row r="84" spans="2:20" x14ac:dyDescent="0.3">
      <c r="B84" s="9">
        <v>139.11879999999999</v>
      </c>
      <c r="C84">
        <v>190901</v>
      </c>
      <c r="D84" s="29">
        <f>(C84*0.343550377443745)/(C83+(C84*0.343550377443745))</f>
        <v>0.92279563449426105</v>
      </c>
      <c r="E84" s="29"/>
      <c r="I84" s="9">
        <v>139.11879999999999</v>
      </c>
      <c r="J84">
        <v>172536</v>
      </c>
      <c r="K84" s="29">
        <f>(J84*0.343550377443745)/(J83+(J84*0.343550377443745))</f>
        <v>0.92242429348681332</v>
      </c>
      <c r="L84" s="29"/>
      <c r="P84" s="9">
        <v>139.11879999999999</v>
      </c>
      <c r="Q84">
        <v>200785</v>
      </c>
      <c r="R84" s="29">
        <f>(Q84*0.343550377443745)/(Q83+(Q84*0.343550377443745))</f>
        <v>0.91237324504617878</v>
      </c>
      <c r="S84" s="29"/>
    </row>
    <row r="85" spans="2:20" x14ac:dyDescent="0.3">
      <c r="B85" s="9">
        <v>166.1206</v>
      </c>
      <c r="C85">
        <v>3402</v>
      </c>
      <c r="D85" s="29"/>
      <c r="E85" s="29"/>
      <c r="I85" s="9">
        <v>166.1206</v>
      </c>
      <c r="J85">
        <v>2758</v>
      </c>
      <c r="K85" s="29"/>
      <c r="L85" s="29"/>
      <c r="P85" s="9">
        <v>166.1206</v>
      </c>
      <c r="Q85">
        <v>4117</v>
      </c>
      <c r="R85" s="29"/>
      <c r="S85" s="29"/>
    </row>
    <row r="86" spans="2:20" x14ac:dyDescent="0.3">
      <c r="B86" s="9">
        <v>170.11940000000001</v>
      </c>
      <c r="C86">
        <v>27210</v>
      </c>
      <c r="D86" s="29">
        <f>(C86*1.77723970331311)/(C85+(C86*1.77723970331311))</f>
        <v>0.93427444945098681</v>
      </c>
      <c r="E86" s="29"/>
      <c r="I86" s="9">
        <v>170.11940000000001</v>
      </c>
      <c r="J86">
        <v>21478</v>
      </c>
      <c r="K86" s="29">
        <f>(J86*1.77723970331311)/(J85+(J86*1.77723970331311))</f>
        <v>0.93261592890636957</v>
      </c>
      <c r="L86" s="29"/>
      <c r="P86" s="9">
        <v>170.11940000000001</v>
      </c>
      <c r="Q86">
        <v>30159</v>
      </c>
      <c r="R86" s="29">
        <f>(Q86*1.77723970331311)/(Q85+(Q86*1.77723970331311))</f>
        <v>0.92866891473310198</v>
      </c>
      <c r="S86" s="29"/>
    </row>
    <row r="87" spans="2:20" x14ac:dyDescent="0.3">
      <c r="B87" s="9">
        <v>191.17689999999999</v>
      </c>
      <c r="C87">
        <v>6413</v>
      </c>
      <c r="D87" s="29"/>
      <c r="E87" s="29"/>
      <c r="I87" s="9">
        <v>191.17689999999999</v>
      </c>
      <c r="J87">
        <v>5874</v>
      </c>
      <c r="K87" s="29"/>
      <c r="L87" s="29"/>
      <c r="P87" s="9">
        <v>191.17689999999999</v>
      </c>
      <c r="Q87">
        <v>7014</v>
      </c>
      <c r="R87" s="29"/>
      <c r="S87" s="29"/>
    </row>
    <row r="88" spans="2:20" x14ac:dyDescent="0.3">
      <c r="B88" s="9">
        <v>195.17939999999999</v>
      </c>
      <c r="C88">
        <v>24552</v>
      </c>
      <c r="D88" s="29">
        <f>(C88*2.29667102757349)/(C87+(C88*2.29667102757349))</f>
        <v>0.89788357550930675</v>
      </c>
      <c r="E88" s="29"/>
      <c r="I88" s="9">
        <v>195.17939999999999</v>
      </c>
      <c r="J88">
        <v>19650</v>
      </c>
      <c r="K88" s="29">
        <f>(J88*2.29667102757349)/(J87+(J88*2.29667102757349))</f>
        <v>0.88483162663321957</v>
      </c>
      <c r="L88" s="29"/>
      <c r="P88" s="9">
        <v>195.17939999999999</v>
      </c>
      <c r="Q88">
        <v>29147</v>
      </c>
      <c r="R88" s="29">
        <f>(Q88*2.29667102757349)/(Q87+(Q88*2.29667102757349))</f>
        <v>0.90515863269137764</v>
      </c>
      <c r="S88" s="29"/>
    </row>
    <row r="89" spans="2:20" x14ac:dyDescent="0.3">
      <c r="B89" s="9">
        <v>205.1909</v>
      </c>
      <c r="C89">
        <v>1063</v>
      </c>
      <c r="D89" s="29"/>
      <c r="E89" s="29"/>
      <c r="I89" s="9">
        <v>205.1909</v>
      </c>
      <c r="J89">
        <v>998</v>
      </c>
      <c r="K89" s="29"/>
      <c r="L89" s="29"/>
      <c r="P89" s="9">
        <v>205.1909</v>
      </c>
      <c r="Q89">
        <v>1578</v>
      </c>
      <c r="R89" s="29"/>
      <c r="S89" s="29"/>
    </row>
    <row r="90" spans="2:20" x14ac:dyDescent="0.3">
      <c r="B90" s="9">
        <v>209.1883</v>
      </c>
      <c r="C90">
        <v>10020</v>
      </c>
      <c r="D90" s="29">
        <f>(C90*0.986523524207095)/(C89+(C90*0.986523524207095))</f>
        <v>0.90290433602829467</v>
      </c>
      <c r="E90" s="29"/>
      <c r="I90" s="9">
        <v>209.1883</v>
      </c>
      <c r="J90">
        <v>9785</v>
      </c>
      <c r="K90" s="29">
        <f>(J90*0.986523524207095)/(J89+(J90*0.986523524207095))</f>
        <v>0.90630104519636212</v>
      </c>
      <c r="L90" s="29"/>
      <c r="P90" s="9">
        <v>209.1883</v>
      </c>
      <c r="Q90">
        <v>17023</v>
      </c>
      <c r="R90" s="29">
        <f>(Q90*0.986523524207095)/(Q89+(Q90*0.986523524207095))</f>
        <v>0.91410650879573874</v>
      </c>
      <c r="S90" s="29"/>
    </row>
    <row r="91" spans="2:20" x14ac:dyDescent="0.3">
      <c r="D91" s="29"/>
      <c r="E91" s="29"/>
      <c r="K91" s="29"/>
      <c r="L91" s="29"/>
      <c r="R91" s="29"/>
      <c r="S91" s="29"/>
    </row>
    <row r="92" spans="2:20" ht="15" thickBot="1" x14ac:dyDescent="0.35">
      <c r="C92" t="s">
        <v>171</v>
      </c>
      <c r="D92" t="s">
        <v>172</v>
      </c>
      <c r="E92" t="s">
        <v>173</v>
      </c>
      <c r="F92" t="s">
        <v>174</v>
      </c>
      <c r="J92" t="s">
        <v>171</v>
      </c>
      <c r="K92" t="s">
        <v>172</v>
      </c>
      <c r="L92" t="s">
        <v>173</v>
      </c>
      <c r="M92" t="s">
        <v>174</v>
      </c>
      <c r="Q92" t="s">
        <v>171</v>
      </c>
      <c r="R92" t="s">
        <v>172</v>
      </c>
      <c r="S92" t="s">
        <v>173</v>
      </c>
      <c r="T92" t="s">
        <v>174</v>
      </c>
    </row>
    <row r="93" spans="2:20" ht="15" thickBot="1" x14ac:dyDescent="0.35">
      <c r="B93" t="s">
        <v>175</v>
      </c>
      <c r="C93">
        <v>2395335</v>
      </c>
      <c r="D93" s="47">
        <f>(((C84*0.343550377443745)/(C83+(C84*0.343550377443745)))*733.092587+((C86*1.77723970331311)/(C85+(C86*1.77723970331311)))*595.4498616+((C88*2.29667102757349)/(C87+(C88*2.29667102757349)))*4175.842325+((C90*0.986523524207095)/(C89+(C90*0.986523524207095)))*485.2112546)/5989.596028</f>
        <v>0.90495716045774632</v>
      </c>
      <c r="E93" s="48">
        <f>1-D93</f>
        <v>9.5042839542253676E-2</v>
      </c>
      <c r="F93" s="31">
        <f>SQRT((SUM(733.092587*(D84-D93)^2,595.4498616*(D86-D93)^2,4175.842325*(D88-D93)^2,485.2112546*(D90-D93)^2))/(5989.59602785596))</f>
        <v>1.263405207354483E-2</v>
      </c>
      <c r="I93" t="s">
        <v>175</v>
      </c>
      <c r="J93">
        <v>2825118</v>
      </c>
      <c r="K93" s="47">
        <f>(((J84*0.343550377443745)/(J83+(J84*0.343550377443745)))*733.092587+((J86*1.77723970331311)/(J85+(J86*1.77723970331311)))*595.4498616+((J88*2.29667102757349)/(J87+(J88*2.29667102757349)))*4175.842325+((J90*0.986523524207095)/(J89+(J90*0.986523524207095)))*485.2112546)/5989.596028</f>
        <v>0.89592240219706543</v>
      </c>
      <c r="L93" s="48">
        <f>1-K93</f>
        <v>0.10407759780293457</v>
      </c>
      <c r="M93" s="31">
        <f>SQRT((SUM(733.092587*(K84-K93)^2,595.4498616*(K86-K93)^2,4175.842325*(K88-K93)^2,485.2112546*(K90-K93)^2))/(5989.59602785596))</f>
        <v>1.7728490070462379E-2</v>
      </c>
      <c r="P93" t="s">
        <v>175</v>
      </c>
      <c r="Q93">
        <v>1704752</v>
      </c>
      <c r="R93" s="47">
        <f>(((Q84*0.343550377443745)/(Q83+(Q84*0.343550377443745)))*733.092587+((Q86*1.77723970331311)/(Q85+(Q86*1.77723970331311)))*595.4498616+((Q88*2.29667102757349)/(Q87+(Q88*2.29667102757349)))*4175.842325+((Q90*0.986523524207095)/(Q89+(Q90*0.986523524207095)))*485.2112546)/5989.596028</f>
        <v>0.90910377077489368</v>
      </c>
      <c r="S93" s="48">
        <f>1-R93</f>
        <v>9.0896229225106318E-2</v>
      </c>
      <c r="T93" s="31">
        <f>SQRT((SUM(733.092587*(R84-R93)^2,595.4498616*(R86-R93)^2,4175.842325*(R88-R93)^2,485.2112546*(R90-R93)^2))/(5989.59602785596))</f>
        <v>7.2278615212942755E-3</v>
      </c>
    </row>
    <row r="94" spans="2:20" x14ac:dyDescent="0.3">
      <c r="B94" t="s">
        <v>176</v>
      </c>
      <c r="C94">
        <f>C93</f>
        <v>2395335</v>
      </c>
      <c r="D94">
        <f>C94*D93</f>
        <v>2167675.5599450557</v>
      </c>
      <c r="E94">
        <f>C94*E93</f>
        <v>227659.44005494422</v>
      </c>
      <c r="I94" t="s">
        <v>176</v>
      </c>
      <c r="J94">
        <f>J93</f>
        <v>2825118</v>
      </c>
      <c r="K94">
        <f>J94*K93</f>
        <v>2531086.5050501693</v>
      </c>
      <c r="L94" s="27">
        <f>J94*L93</f>
        <v>294031.49494983093</v>
      </c>
      <c r="P94" t="s">
        <v>176</v>
      </c>
      <c r="Q94">
        <f>Q93</f>
        <v>1704752</v>
      </c>
      <c r="R94">
        <f>Q94*R93</f>
        <v>1549796.4714360416</v>
      </c>
      <c r="S94">
        <f>Q94*S93</f>
        <v>154955.52856395845</v>
      </c>
    </row>
    <row r="95" spans="2:20" x14ac:dyDescent="0.3">
      <c r="B95" t="s">
        <v>321</v>
      </c>
      <c r="C95" s="9">
        <f>C94/399158</f>
        <v>6.0009695408835597</v>
      </c>
      <c r="D95" s="9">
        <f>D94/399158</f>
        <v>5.4306203557114117</v>
      </c>
      <c r="E95" s="9">
        <f>E94/399158</f>
        <v>0.57034918517214794</v>
      </c>
      <c r="I95" t="s">
        <v>321</v>
      </c>
      <c r="J95" s="9">
        <f>J94/399158</f>
        <v>7.0776935449120399</v>
      </c>
      <c r="K95" s="9">
        <f>K94/399158</f>
        <v>6.3410642027722588</v>
      </c>
      <c r="L95" s="9">
        <f>L94/399158</f>
        <v>0.7366293421397816</v>
      </c>
      <c r="P95" t="s">
        <v>321</v>
      </c>
      <c r="Q95" s="9">
        <f>Q94/399158</f>
        <v>4.2708701817325467</v>
      </c>
      <c r="R95" s="9">
        <f>R94/399158</f>
        <v>3.882664186703114</v>
      </c>
      <c r="S95" s="9">
        <f>S94/399158</f>
        <v>0.38820599502943309</v>
      </c>
    </row>
    <row r="96" spans="2:20" ht="15" thickBot="1" x14ac:dyDescent="0.35">
      <c r="B96" s="32" t="s">
        <v>322</v>
      </c>
      <c r="C96" s="37">
        <f>C95/136.238*1000</f>
        <v>44.047692573904193</v>
      </c>
      <c r="D96" s="37">
        <f>D95/136.238*1000</f>
        <v>39.861274796396096</v>
      </c>
      <c r="E96" s="37">
        <f>E95/136.238*1000</f>
        <v>4.1864177775080957</v>
      </c>
      <c r="F96" s="32"/>
      <c r="I96" s="32" t="s">
        <v>322</v>
      </c>
      <c r="J96" s="37">
        <f>J95/136.238*1000</f>
        <v>51.950950138082177</v>
      </c>
      <c r="K96" s="37">
        <f>K95/136.238*1000</f>
        <v>46.544020044130562</v>
      </c>
      <c r="L96" s="37">
        <f>L95/136.238*1000</f>
        <v>5.406930093951626</v>
      </c>
      <c r="M96" s="32"/>
      <c r="P96" s="32" t="s">
        <v>322</v>
      </c>
      <c r="Q96" s="37">
        <f>Q95/136.238*1000</f>
        <v>31.348597173567924</v>
      </c>
      <c r="R96" s="37">
        <f>R95/136.238*1000</f>
        <v>28.499127898993773</v>
      </c>
      <c r="S96" s="37">
        <f>S95/136.238*1000</f>
        <v>2.8494692745741501</v>
      </c>
      <c r="T96" s="32"/>
    </row>
  </sheetData>
  <mergeCells count="10">
    <mergeCell ref="B60:F60"/>
    <mergeCell ref="I60:M60"/>
    <mergeCell ref="B81:F81"/>
    <mergeCell ref="I81:M81"/>
    <mergeCell ref="B5:F5"/>
    <mergeCell ref="G5:K5"/>
    <mergeCell ref="B20:F20"/>
    <mergeCell ref="I20:M20"/>
    <mergeCell ref="B40:F40"/>
    <mergeCell ref="I40:M4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8"/>
  <sheetViews>
    <sheetView workbookViewId="0"/>
  </sheetViews>
  <sheetFormatPr defaultRowHeight="14.4" x14ac:dyDescent="0.3"/>
  <cols>
    <col min="1" max="1" width="16.44140625" customWidth="1"/>
    <col min="2" max="2" width="13.6640625" bestFit="1" customWidth="1"/>
    <col min="3" max="3" width="21.5546875" customWidth="1"/>
    <col min="4" max="4" width="10.88671875" bestFit="1" customWidth="1"/>
    <col min="5" max="5" width="13.88671875" customWidth="1"/>
    <col min="6" max="6" width="23" customWidth="1"/>
    <col min="7" max="7" width="23.6640625" bestFit="1" customWidth="1"/>
  </cols>
  <sheetData>
    <row r="1" spans="1:14" x14ac:dyDescent="0.3">
      <c r="A1" s="1" t="s">
        <v>398</v>
      </c>
    </row>
    <row r="3" spans="1:14" x14ac:dyDescent="0.3">
      <c r="A3" s="1" t="s">
        <v>310</v>
      </c>
      <c r="H3" s="9"/>
      <c r="I3" s="27"/>
    </row>
    <row r="4" spans="1:14" x14ac:dyDescent="0.3">
      <c r="H4" s="9"/>
    </row>
    <row r="5" spans="1:14" ht="16.2" x14ac:dyDescent="0.3">
      <c r="A5" s="71" t="s">
        <v>277</v>
      </c>
      <c r="H5" s="9"/>
    </row>
    <row r="6" spans="1:14" ht="16.2" x14ac:dyDescent="0.3">
      <c r="A6" s="71" t="s">
        <v>278</v>
      </c>
      <c r="H6" s="9"/>
    </row>
    <row r="7" spans="1:14" x14ac:dyDescent="0.3">
      <c r="A7" s="71" t="s">
        <v>279</v>
      </c>
      <c r="H7" s="9"/>
    </row>
    <row r="8" spans="1:14" ht="15" thickBot="1" x14ac:dyDescent="0.35">
      <c r="A8" s="32"/>
      <c r="B8" s="32"/>
      <c r="C8" s="32"/>
      <c r="D8" s="32"/>
      <c r="E8" s="32"/>
      <c r="F8" s="32"/>
      <c r="G8" s="32"/>
      <c r="H8" s="9"/>
    </row>
    <row r="9" spans="1:14" x14ac:dyDescent="0.3">
      <c r="A9" s="71"/>
      <c r="H9" s="9"/>
    </row>
    <row r="10" spans="1:14" x14ac:dyDescent="0.3">
      <c r="A10" s="71" t="s">
        <v>280</v>
      </c>
      <c r="H10" s="9"/>
    </row>
    <row r="11" spans="1:14" x14ac:dyDescent="0.3">
      <c r="H11" s="9"/>
    </row>
    <row r="12" spans="1:14" x14ac:dyDescent="0.3">
      <c r="B12" t="s">
        <v>281</v>
      </c>
      <c r="C12" t="s">
        <v>282</v>
      </c>
      <c r="E12" t="s">
        <v>283</v>
      </c>
      <c r="H12" s="9"/>
    </row>
    <row r="13" spans="1:14" ht="16.8" thickBot="1" x14ac:dyDescent="0.35">
      <c r="B13" t="s">
        <v>284</v>
      </c>
      <c r="C13" s="71" t="s">
        <v>285</v>
      </c>
      <c r="H13" s="9"/>
      <c r="I13" s="27"/>
      <c r="M13" s="72"/>
      <c r="N13" s="27"/>
    </row>
    <row r="14" spans="1:14" ht="15" thickBot="1" x14ac:dyDescent="0.35">
      <c r="A14" s="73" t="s">
        <v>286</v>
      </c>
      <c r="B14" s="74" t="s">
        <v>287</v>
      </c>
      <c r="C14" s="75" t="s">
        <v>288</v>
      </c>
      <c r="E14" s="76" t="s">
        <v>289</v>
      </c>
      <c r="F14" s="77" t="s">
        <v>290</v>
      </c>
      <c r="H14" s="9"/>
      <c r="I14" s="27"/>
      <c r="M14" s="72"/>
      <c r="N14" s="27"/>
    </row>
    <row r="15" spans="1:14" x14ac:dyDescent="0.3">
      <c r="A15" s="78">
        <v>81.067499999999995</v>
      </c>
      <c r="B15" s="79">
        <v>127683</v>
      </c>
      <c r="C15" s="80">
        <v>11845</v>
      </c>
      <c r="E15" s="81">
        <f>B15/C15</f>
        <v>10.779485014774167</v>
      </c>
      <c r="F15" s="82">
        <f>C15/B15</f>
        <v>9.2768810256651235E-2</v>
      </c>
      <c r="H15" s="9"/>
      <c r="I15" s="27"/>
      <c r="M15" s="72"/>
      <c r="N15" s="27"/>
    </row>
    <row r="16" spans="1:14" x14ac:dyDescent="0.3">
      <c r="A16" s="83">
        <v>82.070300000000003</v>
      </c>
      <c r="B16" s="84">
        <v>9173</v>
      </c>
      <c r="C16" s="85">
        <v>44289</v>
      </c>
      <c r="E16" s="86">
        <f>B16/C16</f>
        <v>0.20711689132741765</v>
      </c>
      <c r="F16" s="87">
        <f>C16/B16</f>
        <v>4.8281914313746865</v>
      </c>
      <c r="H16" s="9"/>
      <c r="I16" s="27"/>
      <c r="M16" s="72"/>
      <c r="N16" s="27"/>
    </row>
    <row r="17" spans="1:14" ht="15" thickBot="1" x14ac:dyDescent="0.35">
      <c r="A17" s="88">
        <v>83.080699999999993</v>
      </c>
      <c r="B17" s="89">
        <v>3816</v>
      </c>
      <c r="C17" s="90">
        <v>95661</v>
      </c>
      <c r="E17" s="91">
        <f>B17/C17</f>
        <v>3.98908646156741E-2</v>
      </c>
      <c r="F17" s="92">
        <f>C17/B17</f>
        <v>25.068396226415093</v>
      </c>
      <c r="H17" s="9"/>
      <c r="I17" s="27"/>
      <c r="M17" s="72"/>
      <c r="N17" s="27"/>
    </row>
    <row r="18" spans="1:14" ht="15" thickBot="1" x14ac:dyDescent="0.35">
      <c r="A18" s="9"/>
      <c r="E18" s="27"/>
      <c r="F18" s="27"/>
      <c r="H18" s="9"/>
      <c r="I18" s="27"/>
      <c r="M18" s="72"/>
      <c r="N18" s="27"/>
    </row>
    <row r="19" spans="1:14" x14ac:dyDescent="0.3">
      <c r="A19" s="93">
        <v>93.0672</v>
      </c>
      <c r="B19" s="94">
        <v>27749</v>
      </c>
      <c r="C19" s="95">
        <v>1692</v>
      </c>
      <c r="E19" s="96">
        <f>B19/C19</f>
        <v>16.400118203309692</v>
      </c>
      <c r="F19" s="97">
        <f>C19/B19</f>
        <v>6.0975170276406358E-2</v>
      </c>
      <c r="H19" s="9"/>
      <c r="I19" s="27"/>
      <c r="M19" s="72"/>
      <c r="N19" s="27"/>
    </row>
    <row r="20" spans="1:14" x14ac:dyDescent="0.3">
      <c r="A20" s="83">
        <v>94.074200000000005</v>
      </c>
      <c r="B20" s="84">
        <v>23813</v>
      </c>
      <c r="C20" s="85">
        <v>11438</v>
      </c>
      <c r="E20" s="86">
        <f>B20/C20</f>
        <v>2.0819199160692428</v>
      </c>
      <c r="F20" s="87">
        <f>C20/B20</f>
        <v>0.48032587242262631</v>
      </c>
      <c r="H20" s="9"/>
      <c r="I20" s="27"/>
      <c r="M20" s="72"/>
      <c r="N20" s="27"/>
    </row>
    <row r="21" spans="1:14" x14ac:dyDescent="0.3">
      <c r="A21" s="83">
        <v>95.082899999999995</v>
      </c>
      <c r="B21" s="84">
        <v>74298</v>
      </c>
      <c r="C21" s="85">
        <v>41860</v>
      </c>
      <c r="E21" s="86">
        <f>B21/C21</f>
        <v>1.7749163879598662</v>
      </c>
      <c r="F21" s="87">
        <f>C21/B21</f>
        <v>0.56340682117957419</v>
      </c>
      <c r="H21" s="9"/>
      <c r="I21" s="27"/>
      <c r="M21" s="72"/>
      <c r="N21" s="27"/>
    </row>
    <row r="22" spans="1:14" x14ac:dyDescent="0.3">
      <c r="A22" s="83">
        <v>96.087199999999996</v>
      </c>
      <c r="B22" s="84">
        <v>7112</v>
      </c>
      <c r="C22" s="85">
        <v>66841</v>
      </c>
      <c r="E22" s="86">
        <f>B22/C22</f>
        <v>0.10640175939917117</v>
      </c>
      <c r="F22" s="87">
        <f>C22/B22</f>
        <v>9.3983408323959505</v>
      </c>
      <c r="H22" s="9"/>
      <c r="I22" s="27"/>
      <c r="M22" s="72"/>
      <c r="N22" s="27"/>
    </row>
    <row r="23" spans="1:14" ht="15" thickBot="1" x14ac:dyDescent="0.35">
      <c r="A23" s="88">
        <v>97.093900000000005</v>
      </c>
      <c r="B23" s="89">
        <v>5635</v>
      </c>
      <c r="C23" s="90">
        <v>31623</v>
      </c>
      <c r="E23" s="91">
        <f>B23/C23</f>
        <v>0.17819308730986941</v>
      </c>
      <c r="F23" s="92">
        <f>C23/B23</f>
        <v>5.6118899733806566</v>
      </c>
      <c r="H23" s="9"/>
      <c r="I23" s="27"/>
      <c r="M23" s="72"/>
      <c r="N23" s="27"/>
    </row>
    <row r="24" spans="1:14" ht="15" thickBot="1" x14ac:dyDescent="0.35">
      <c r="A24" s="9"/>
      <c r="E24" s="27"/>
      <c r="F24" s="27"/>
      <c r="H24" s="9"/>
      <c r="I24" s="27"/>
      <c r="M24" s="72"/>
      <c r="N24" s="27"/>
    </row>
    <row r="25" spans="1:14" x14ac:dyDescent="0.3">
      <c r="A25" s="93">
        <v>107.0835</v>
      </c>
      <c r="B25" s="94">
        <v>43983</v>
      </c>
      <c r="C25" s="95">
        <v>6461</v>
      </c>
      <c r="E25" s="96">
        <f>B25/C25</f>
        <v>6.8074601454883146</v>
      </c>
      <c r="F25" s="97">
        <f>C25/B25</f>
        <v>0.14689766500693449</v>
      </c>
      <c r="H25" s="9"/>
      <c r="I25" s="27"/>
      <c r="M25" s="72"/>
      <c r="N25" s="27"/>
    </row>
    <row r="26" spans="1:14" x14ac:dyDescent="0.3">
      <c r="A26" s="83">
        <v>108.0879</v>
      </c>
      <c r="B26" s="84">
        <v>7226</v>
      </c>
      <c r="C26" s="85">
        <v>16020</v>
      </c>
      <c r="E26" s="86">
        <f>B26/C26</f>
        <v>0.45106117353308367</v>
      </c>
      <c r="F26" s="87">
        <f>C26/B26</f>
        <v>2.216994187655688</v>
      </c>
      <c r="H26" s="9"/>
      <c r="I26" s="27"/>
      <c r="M26" s="72"/>
      <c r="N26" s="27"/>
    </row>
    <row r="27" spans="1:14" x14ac:dyDescent="0.3">
      <c r="A27" s="83">
        <v>109.0989</v>
      </c>
      <c r="B27" s="84">
        <v>41961</v>
      </c>
      <c r="C27" s="85">
        <v>35177</v>
      </c>
      <c r="E27" s="86">
        <f>B27/C27</f>
        <v>1.1928532848167837</v>
      </c>
      <c r="F27" s="87">
        <f>C27/B27</f>
        <v>0.83832606467910675</v>
      </c>
      <c r="H27" s="9"/>
      <c r="I27" s="27"/>
      <c r="M27" s="72"/>
      <c r="N27" s="27"/>
    </row>
    <row r="28" spans="1:14" x14ac:dyDescent="0.3">
      <c r="A28" s="83">
        <v>110.1007</v>
      </c>
      <c r="B28" s="84">
        <v>5620</v>
      </c>
      <c r="C28" s="85">
        <v>19463</v>
      </c>
      <c r="E28" s="86">
        <f>B28/C28</f>
        <v>0.28875301854801416</v>
      </c>
      <c r="F28" s="87">
        <f>C28/B28</f>
        <v>3.4631672597864767</v>
      </c>
      <c r="H28" s="9"/>
      <c r="I28" s="27"/>
      <c r="M28" s="72"/>
      <c r="N28" s="27"/>
    </row>
    <row r="29" spans="1:14" ht="15" thickBot="1" x14ac:dyDescent="0.35">
      <c r="A29" s="88">
        <v>111.1074</v>
      </c>
      <c r="B29" s="89">
        <v>6611</v>
      </c>
      <c r="C29" s="90">
        <v>30553</v>
      </c>
      <c r="E29" s="91">
        <f>B29/C29</f>
        <v>0.21637809707721009</v>
      </c>
      <c r="F29" s="92">
        <f>C29/B29</f>
        <v>4.6215398578127367</v>
      </c>
      <c r="H29" s="9"/>
      <c r="I29" s="27"/>
      <c r="M29" s="72"/>
      <c r="N29" s="27"/>
    </row>
    <row r="30" spans="1:14" ht="15" thickBot="1" x14ac:dyDescent="0.35">
      <c r="A30" s="9"/>
      <c r="E30" s="27"/>
      <c r="F30" s="27"/>
      <c r="H30" s="9"/>
      <c r="I30" s="27"/>
      <c r="M30" s="72"/>
      <c r="N30" s="27"/>
    </row>
    <row r="31" spans="1:14" x14ac:dyDescent="0.3">
      <c r="A31" s="93">
        <v>121.099</v>
      </c>
      <c r="B31" s="94">
        <v>41953</v>
      </c>
      <c r="C31" s="95">
        <v>4735</v>
      </c>
      <c r="E31" s="96">
        <f>B31/C31</f>
        <v>8.860190073917634</v>
      </c>
      <c r="F31" s="97">
        <f>C31/B31</f>
        <v>0.11286439587157057</v>
      </c>
      <c r="H31" s="9"/>
      <c r="I31" s="27"/>
      <c r="M31" s="72"/>
      <c r="N31" s="27"/>
    </row>
    <row r="32" spans="1:14" x14ac:dyDescent="0.3">
      <c r="A32" s="83">
        <v>122.1024</v>
      </c>
      <c r="B32" s="84">
        <v>5216</v>
      </c>
      <c r="C32" s="85">
        <v>8443</v>
      </c>
      <c r="E32" s="86">
        <f>B32/C32</f>
        <v>0.61778988511192701</v>
      </c>
      <c r="F32" s="87">
        <f>C32/B32</f>
        <v>1.6186733128834356</v>
      </c>
      <c r="H32" s="9"/>
      <c r="I32" s="27"/>
      <c r="M32" s="72"/>
      <c r="N32" s="27"/>
    </row>
    <row r="33" spans="1:14" x14ac:dyDescent="0.3">
      <c r="A33" s="83">
        <v>123.11320000000001</v>
      </c>
      <c r="B33" s="84">
        <v>35210</v>
      </c>
      <c r="C33" s="85">
        <v>37040</v>
      </c>
      <c r="E33" s="86">
        <f>B33/C33</f>
        <v>0.9505939524838013</v>
      </c>
      <c r="F33" s="87">
        <f>C33/B33</f>
        <v>1.0519738710593582</v>
      </c>
      <c r="H33" s="9"/>
      <c r="I33" s="27"/>
      <c r="M33" s="72"/>
      <c r="N33" s="27"/>
    </row>
    <row r="34" spans="1:14" x14ac:dyDescent="0.3">
      <c r="A34" s="83">
        <v>124.10590000000001</v>
      </c>
      <c r="B34" s="84">
        <v>4964</v>
      </c>
      <c r="C34" s="85">
        <v>22716</v>
      </c>
      <c r="E34" s="86">
        <f>B34/C34</f>
        <v>0.21852438809649585</v>
      </c>
      <c r="F34" s="87">
        <f>C34/B34</f>
        <v>4.5761482675261886</v>
      </c>
      <c r="H34" s="9"/>
      <c r="I34" s="27"/>
      <c r="M34" s="72"/>
      <c r="N34" s="27"/>
    </row>
    <row r="35" spans="1:14" ht="15" thickBot="1" x14ac:dyDescent="0.35">
      <c r="A35" s="88">
        <v>125.1268</v>
      </c>
      <c r="B35" s="89">
        <v>5576</v>
      </c>
      <c r="C35" s="90">
        <v>18288</v>
      </c>
      <c r="E35" s="91">
        <f>B35/C35</f>
        <v>0.30489938757655294</v>
      </c>
      <c r="F35" s="92">
        <f>C35/B35</f>
        <v>3.2797704447632712</v>
      </c>
      <c r="H35" s="9"/>
      <c r="I35" s="27"/>
      <c r="M35" s="72"/>
      <c r="N35" s="27"/>
    </row>
    <row r="36" spans="1:14" ht="15" thickBot="1" x14ac:dyDescent="0.35">
      <c r="A36" s="9"/>
      <c r="E36" s="27"/>
      <c r="F36" s="27"/>
      <c r="H36" s="9"/>
      <c r="I36" s="27"/>
      <c r="M36" s="72"/>
      <c r="N36" s="27"/>
    </row>
    <row r="37" spans="1:14" x14ac:dyDescent="0.3">
      <c r="A37" s="93">
        <v>135.114</v>
      </c>
      <c r="B37" s="94">
        <v>94896</v>
      </c>
      <c r="C37" s="95">
        <v>4922</v>
      </c>
      <c r="E37" s="96">
        <f t="shared" ref="E37:E42" si="0">B37/C37</f>
        <v>19.279967492889071</v>
      </c>
      <c r="F37" s="97">
        <f t="shared" ref="F37:F42" si="1">C37/B37</f>
        <v>5.1867307368066093E-2</v>
      </c>
      <c r="H37" s="9"/>
      <c r="I37" s="27"/>
      <c r="M37" s="72"/>
      <c r="N37" s="27"/>
    </row>
    <row r="38" spans="1:14" x14ac:dyDescent="0.3">
      <c r="A38" s="83">
        <v>136.1207</v>
      </c>
      <c r="B38" s="84">
        <v>36868</v>
      </c>
      <c r="C38" s="85">
        <v>9585</v>
      </c>
      <c r="E38" s="86">
        <f t="shared" si="0"/>
        <v>3.8464267083985395</v>
      </c>
      <c r="F38" s="87">
        <f t="shared" si="1"/>
        <v>0.25998155582076599</v>
      </c>
      <c r="H38" s="9"/>
      <c r="I38" s="27"/>
      <c r="M38" s="72"/>
      <c r="N38" s="27"/>
    </row>
    <row r="39" spans="1:14" x14ac:dyDescent="0.3">
      <c r="A39" s="83">
        <v>137.12989999999999</v>
      </c>
      <c r="B39" s="84">
        <v>260676</v>
      </c>
      <c r="C39" s="85">
        <v>101692</v>
      </c>
      <c r="E39" s="86">
        <f t="shared" si="0"/>
        <v>2.5633874837745347</v>
      </c>
      <c r="F39" s="87">
        <f t="shared" si="1"/>
        <v>0.39010879405852478</v>
      </c>
      <c r="H39" s="9"/>
      <c r="I39" s="27"/>
      <c r="M39" s="72"/>
      <c r="N39" s="27"/>
    </row>
    <row r="40" spans="1:14" x14ac:dyDescent="0.3">
      <c r="A40" s="83">
        <v>138.1327</v>
      </c>
      <c r="B40" s="84">
        <v>32063</v>
      </c>
      <c r="C40" s="85">
        <v>56378</v>
      </c>
      <c r="E40" s="86">
        <f t="shared" si="0"/>
        <v>0.56871474688708357</v>
      </c>
      <c r="F40" s="87">
        <f t="shared" si="1"/>
        <v>1.7583507469669089</v>
      </c>
      <c r="H40" s="9"/>
      <c r="I40" s="27"/>
      <c r="M40" s="72"/>
      <c r="N40" s="27"/>
    </row>
    <row r="41" spans="1:14" x14ac:dyDescent="0.3">
      <c r="A41" s="83">
        <v>139.11879999999999</v>
      </c>
      <c r="B41" s="84">
        <v>7732</v>
      </c>
      <c r="C41" s="85">
        <v>293998</v>
      </c>
      <c r="E41" s="86">
        <f t="shared" si="0"/>
        <v>2.6299498636045145E-2</v>
      </c>
      <c r="F41" s="87">
        <f t="shared" si="1"/>
        <v>38.023538541127778</v>
      </c>
      <c r="H41" s="9"/>
      <c r="I41" s="27"/>
      <c r="M41" s="72"/>
      <c r="N41" s="27"/>
    </row>
    <row r="42" spans="1:14" ht="15" thickBot="1" x14ac:dyDescent="0.35">
      <c r="A42" s="88">
        <v>140.11920000000001</v>
      </c>
      <c r="B42" s="89">
        <v>2044</v>
      </c>
      <c r="C42" s="90">
        <v>28289</v>
      </c>
      <c r="E42" s="91">
        <f t="shared" si="0"/>
        <v>7.2254233094135534E-2</v>
      </c>
      <c r="F42" s="92">
        <f t="shared" si="1"/>
        <v>13.840019569471623</v>
      </c>
      <c r="H42" s="9"/>
      <c r="I42" s="27"/>
      <c r="M42" s="72"/>
      <c r="N42" s="27"/>
    </row>
    <row r="43" spans="1:14" ht="15" thickBot="1" x14ac:dyDescent="0.35">
      <c r="A43" s="9"/>
      <c r="E43" s="27"/>
      <c r="F43" s="27"/>
      <c r="H43" s="9"/>
      <c r="I43" s="27"/>
      <c r="M43" s="72"/>
      <c r="N43" s="27"/>
    </row>
    <row r="44" spans="1:14" x14ac:dyDescent="0.3">
      <c r="A44" s="93">
        <v>149.12389999999999</v>
      </c>
      <c r="B44" s="94">
        <v>10565</v>
      </c>
      <c r="C44" s="95">
        <v>1511</v>
      </c>
      <c r="E44" s="96">
        <f t="shared" ref="E44:E50" si="2">B44/C44</f>
        <v>6.9920582395764397</v>
      </c>
      <c r="F44" s="97">
        <f t="shared" ref="F44:F50" si="3">C44/B44</f>
        <v>0.14301940369143398</v>
      </c>
      <c r="H44" s="9"/>
      <c r="I44" s="27"/>
      <c r="M44" s="72"/>
      <c r="N44" s="27"/>
    </row>
    <row r="45" spans="1:14" x14ac:dyDescent="0.3">
      <c r="A45" s="83">
        <v>150.12010000000001</v>
      </c>
      <c r="B45" s="84">
        <v>2746</v>
      </c>
      <c r="C45" s="85">
        <v>3323</v>
      </c>
      <c r="E45" s="86">
        <f t="shared" si="2"/>
        <v>0.82636172133614205</v>
      </c>
      <c r="F45" s="87">
        <f t="shared" si="3"/>
        <v>1.2101238164603059</v>
      </c>
      <c r="H45" s="9"/>
      <c r="I45" s="27"/>
      <c r="M45" s="72"/>
      <c r="N45" s="27"/>
    </row>
    <row r="46" spans="1:14" x14ac:dyDescent="0.3">
      <c r="A46" s="83">
        <v>151.1292</v>
      </c>
      <c r="B46" s="84">
        <v>23321</v>
      </c>
      <c r="C46" s="85">
        <v>9795</v>
      </c>
      <c r="E46" s="86">
        <f t="shared" si="2"/>
        <v>2.380908626850434</v>
      </c>
      <c r="F46" s="87">
        <f t="shared" si="3"/>
        <v>0.42000771836542172</v>
      </c>
      <c r="H46" s="9"/>
      <c r="I46" s="27"/>
      <c r="M46" s="72"/>
      <c r="N46" s="27"/>
    </row>
    <row r="47" spans="1:14" x14ac:dyDescent="0.3">
      <c r="A47" s="83">
        <v>152.11799999999999</v>
      </c>
      <c r="B47" s="84">
        <v>9830</v>
      </c>
      <c r="C47" s="85">
        <v>6456</v>
      </c>
      <c r="E47" s="86">
        <f t="shared" si="2"/>
        <v>1.5226146220570012</v>
      </c>
      <c r="F47" s="87">
        <f t="shared" si="3"/>
        <v>0.65676500508646996</v>
      </c>
      <c r="H47" s="9"/>
      <c r="I47" s="27"/>
      <c r="M47" s="72"/>
      <c r="N47" s="27"/>
    </row>
    <row r="48" spans="1:14" x14ac:dyDescent="0.3">
      <c r="A48" s="83">
        <v>153.12430000000001</v>
      </c>
      <c r="B48" s="84">
        <v>47205</v>
      </c>
      <c r="C48" s="85">
        <v>22975</v>
      </c>
      <c r="E48" s="86">
        <f t="shared" si="2"/>
        <v>2.0546245919477695</v>
      </c>
      <c r="F48" s="87">
        <f t="shared" si="3"/>
        <v>0.48670691664018639</v>
      </c>
      <c r="H48" s="9"/>
      <c r="I48" s="27"/>
      <c r="M48" s="72"/>
      <c r="N48" s="27"/>
    </row>
    <row r="49" spans="1:14" x14ac:dyDescent="0.3">
      <c r="A49" s="83">
        <v>154.1294</v>
      </c>
      <c r="B49" s="84">
        <v>5369</v>
      </c>
      <c r="C49" s="85">
        <v>10672</v>
      </c>
      <c r="E49" s="86">
        <f t="shared" si="2"/>
        <v>0.50309220389805098</v>
      </c>
      <c r="F49" s="87">
        <f t="shared" si="3"/>
        <v>1.9877072080461911</v>
      </c>
      <c r="H49" s="9"/>
      <c r="I49" s="27"/>
      <c r="M49" s="72"/>
      <c r="N49" s="27"/>
    </row>
    <row r="50" spans="1:14" ht="15" thickBot="1" x14ac:dyDescent="0.35">
      <c r="A50" s="88">
        <v>155.10900000000001</v>
      </c>
      <c r="B50" s="89">
        <v>6481</v>
      </c>
      <c r="C50" s="90">
        <v>50212</v>
      </c>
      <c r="E50" s="91">
        <f t="shared" si="2"/>
        <v>0.12907273161793995</v>
      </c>
      <c r="F50" s="92">
        <f t="shared" si="3"/>
        <v>7.7475698194723037</v>
      </c>
      <c r="H50" s="9"/>
      <c r="I50" s="27"/>
      <c r="M50" s="72"/>
      <c r="N50" s="27"/>
    </row>
    <row r="51" spans="1:14" ht="15" thickBot="1" x14ac:dyDescent="0.35">
      <c r="A51" s="9"/>
      <c r="E51" s="27"/>
      <c r="F51" s="27"/>
      <c r="H51" s="9"/>
      <c r="I51" s="27"/>
      <c r="M51" s="72"/>
      <c r="N51" s="27"/>
    </row>
    <row r="52" spans="1:14" x14ac:dyDescent="0.3">
      <c r="A52" s="93">
        <v>166.1206</v>
      </c>
      <c r="B52" s="94">
        <v>58292</v>
      </c>
      <c r="C52" s="95">
        <v>3605</v>
      </c>
      <c r="E52" s="96">
        <f>B52/C52</f>
        <v>16.169764216366158</v>
      </c>
      <c r="F52" s="97">
        <f>C52/B52</f>
        <v>6.1843820764427362E-2</v>
      </c>
      <c r="H52" s="9"/>
      <c r="I52" s="27"/>
      <c r="M52" s="72"/>
      <c r="N52" s="27"/>
    </row>
    <row r="53" spans="1:14" x14ac:dyDescent="0.3">
      <c r="A53" s="83">
        <v>168.11259999999999</v>
      </c>
      <c r="B53" s="84">
        <v>29978</v>
      </c>
      <c r="C53" s="85">
        <v>59603</v>
      </c>
      <c r="E53" s="86">
        <f>B53/C53</f>
        <v>0.50296126033924471</v>
      </c>
      <c r="F53" s="87">
        <f>C53/B53</f>
        <v>1.9882246981119487</v>
      </c>
      <c r="H53" s="9"/>
      <c r="I53" s="27"/>
      <c r="M53" s="72"/>
      <c r="N53" s="27"/>
    </row>
    <row r="54" spans="1:14" ht="15" thickBot="1" x14ac:dyDescent="0.35">
      <c r="A54" s="88">
        <v>170.11940000000001</v>
      </c>
      <c r="B54" s="89">
        <v>948</v>
      </c>
      <c r="C54" s="90">
        <v>34910</v>
      </c>
      <c r="E54" s="91">
        <f>B54/C54</f>
        <v>2.7155542824405614E-2</v>
      </c>
      <c r="F54" s="92">
        <f>C54/B54</f>
        <v>36.824894514767934</v>
      </c>
      <c r="H54" s="9"/>
      <c r="I54" s="27"/>
      <c r="M54" s="72"/>
      <c r="N54" s="27"/>
    </row>
    <row r="55" spans="1:14" ht="15" thickBot="1" x14ac:dyDescent="0.35">
      <c r="A55" s="9"/>
      <c r="E55" s="27"/>
      <c r="F55" s="27"/>
      <c r="H55" s="9"/>
      <c r="I55" s="27"/>
    </row>
    <row r="56" spans="1:14" x14ac:dyDescent="0.3">
      <c r="A56" s="93">
        <v>177.16120000000001</v>
      </c>
      <c r="B56" s="94">
        <v>9145</v>
      </c>
      <c r="C56" s="95">
        <v>706</v>
      </c>
      <c r="E56" s="96">
        <f>B56/C56</f>
        <v>12.953257790368271</v>
      </c>
      <c r="F56" s="97">
        <f>C56/B56</f>
        <v>7.7200656096227449E-2</v>
      </c>
      <c r="H56" s="9"/>
      <c r="I56" s="27"/>
    </row>
    <row r="57" spans="1:14" x14ac:dyDescent="0.3">
      <c r="A57" s="83">
        <v>179.14760000000001</v>
      </c>
      <c r="B57" s="84">
        <v>31552</v>
      </c>
      <c r="C57" s="85">
        <v>10668</v>
      </c>
      <c r="E57" s="86">
        <f>B57/C57</f>
        <v>2.9576302962129732</v>
      </c>
      <c r="F57" s="87">
        <f>C57/B57</f>
        <v>0.33810851926977686</v>
      </c>
      <c r="H57" s="9"/>
      <c r="I57" s="27"/>
    </row>
    <row r="58" spans="1:14" ht="15" thickBot="1" x14ac:dyDescent="0.35">
      <c r="A58" s="88">
        <v>181.15090000000001</v>
      </c>
      <c r="B58" s="89">
        <v>3519</v>
      </c>
      <c r="C58" s="90">
        <v>29297</v>
      </c>
      <c r="E58" s="91">
        <f>B58/C58</f>
        <v>0.12011468751066662</v>
      </c>
      <c r="F58" s="92">
        <f>C58/B58</f>
        <v>8.3253765274225628</v>
      </c>
      <c r="H58" s="9"/>
      <c r="I58" s="27"/>
    </row>
    <row r="59" spans="1:14" ht="15" thickBot="1" x14ac:dyDescent="0.35">
      <c r="A59" s="9"/>
      <c r="E59" s="27"/>
      <c r="F59" s="27"/>
      <c r="H59" s="9"/>
      <c r="I59" s="27"/>
    </row>
    <row r="60" spans="1:14" x14ac:dyDescent="0.3">
      <c r="A60" s="93">
        <v>191.17689999999999</v>
      </c>
      <c r="B60" s="94">
        <v>176750</v>
      </c>
      <c r="C60" s="95">
        <v>2272</v>
      </c>
      <c r="E60" s="96">
        <f>B60/C60</f>
        <v>77.794894366197184</v>
      </c>
      <c r="F60" s="97">
        <f>C60/B60</f>
        <v>1.2854314002828854E-2</v>
      </c>
      <c r="H60" s="9"/>
      <c r="I60" s="27"/>
    </row>
    <row r="61" spans="1:14" x14ac:dyDescent="0.3">
      <c r="A61" s="83">
        <v>193.1918</v>
      </c>
      <c r="B61" s="84">
        <v>83095</v>
      </c>
      <c r="C61" s="85">
        <v>175219</v>
      </c>
      <c r="E61" s="86">
        <f>B61/C61</f>
        <v>0.4742351000747636</v>
      </c>
      <c r="F61" s="87">
        <f>C61/B61</f>
        <v>2.1086587640652263</v>
      </c>
      <c r="H61" s="9"/>
      <c r="I61" s="27"/>
    </row>
    <row r="62" spans="1:14" ht="15" thickBot="1" x14ac:dyDescent="0.35">
      <c r="A62" s="88">
        <v>195.17939999999999</v>
      </c>
      <c r="B62" s="89">
        <v>1526</v>
      </c>
      <c r="C62" s="90">
        <v>81912</v>
      </c>
      <c r="E62" s="91">
        <f>B62/C62</f>
        <v>1.8629748998925676E-2</v>
      </c>
      <c r="F62" s="92">
        <f>C62/B62</f>
        <v>53.677588466579294</v>
      </c>
      <c r="H62" s="9"/>
      <c r="I62" s="27"/>
    </row>
    <row r="63" spans="1:14" ht="15" thickBot="1" x14ac:dyDescent="0.35">
      <c r="A63" s="9"/>
      <c r="E63" s="27"/>
      <c r="F63" s="27"/>
      <c r="H63" s="9"/>
      <c r="I63" s="27"/>
    </row>
    <row r="64" spans="1:14" x14ac:dyDescent="0.3">
      <c r="A64" s="93">
        <v>205.1909</v>
      </c>
      <c r="B64" s="94">
        <v>9164</v>
      </c>
      <c r="C64" s="95">
        <v>513</v>
      </c>
      <c r="E64" s="96">
        <f>B64/C64</f>
        <v>17.8635477582846</v>
      </c>
      <c r="F64" s="97">
        <f>C64/B64</f>
        <v>5.5979921431689221E-2</v>
      </c>
      <c r="H64" s="9"/>
      <c r="I64" s="27"/>
    </row>
    <row r="65" spans="1:10" x14ac:dyDescent="0.3">
      <c r="A65" s="83">
        <v>207.20240000000001</v>
      </c>
      <c r="B65" s="84">
        <v>9791</v>
      </c>
      <c r="C65" s="85">
        <v>9065</v>
      </c>
      <c r="E65" s="86">
        <f>B65/C65</f>
        <v>1.0800882515168229</v>
      </c>
      <c r="F65" s="87">
        <f>C65/B65</f>
        <v>0.92585027065672554</v>
      </c>
      <c r="H65" s="9"/>
      <c r="I65" s="27"/>
    </row>
    <row r="66" spans="1:10" ht="15" thickBot="1" x14ac:dyDescent="0.35">
      <c r="A66" s="88">
        <v>209.1883</v>
      </c>
      <c r="B66" s="89">
        <v>364</v>
      </c>
      <c r="C66" s="90">
        <v>9887</v>
      </c>
      <c r="E66" s="91">
        <f>B66/C66</f>
        <v>3.6816021037726306E-2</v>
      </c>
      <c r="F66" s="92">
        <f>C66/B66</f>
        <v>27.162087912087912</v>
      </c>
      <c r="H66" s="9"/>
      <c r="I66" s="27"/>
    </row>
    <row r="67" spans="1:10" ht="15" thickBot="1" x14ac:dyDescent="0.35">
      <c r="A67" s="9"/>
      <c r="E67" s="27"/>
      <c r="F67" s="27"/>
      <c r="H67" s="9"/>
      <c r="I67" s="27"/>
    </row>
    <row r="68" spans="1:10" x14ac:dyDescent="0.3">
      <c r="A68" s="93">
        <v>217.1908</v>
      </c>
      <c r="B68" s="94">
        <v>2212</v>
      </c>
      <c r="C68" s="95">
        <v>1</v>
      </c>
      <c r="E68" s="96">
        <f>B68/C68</f>
        <v>2212</v>
      </c>
      <c r="F68" s="97">
        <f>C68/B68</f>
        <v>4.5207956600361662E-4</v>
      </c>
      <c r="H68" s="9"/>
      <c r="I68" s="27"/>
    </row>
    <row r="69" spans="1:10" x14ac:dyDescent="0.3">
      <c r="A69" s="83">
        <v>219.209</v>
      </c>
      <c r="B69" s="84">
        <v>13688</v>
      </c>
      <c r="C69" s="85">
        <v>969</v>
      </c>
      <c r="E69" s="86">
        <f>B69/C69</f>
        <v>14.125902992776059</v>
      </c>
      <c r="F69" s="87">
        <f>C69/B69</f>
        <v>7.0791934541203971E-2</v>
      </c>
      <c r="H69" s="9"/>
      <c r="I69" s="27"/>
    </row>
    <row r="70" spans="1:10" x14ac:dyDescent="0.3">
      <c r="A70" s="83">
        <v>221.2236</v>
      </c>
      <c r="B70" s="84">
        <v>41915</v>
      </c>
      <c r="C70" s="85">
        <v>19233</v>
      </c>
      <c r="E70" s="86">
        <f>B70/C70</f>
        <v>2.1793271980450268</v>
      </c>
      <c r="F70" s="87">
        <f>C70/B70</f>
        <v>0.45885721102230703</v>
      </c>
      <c r="H70" s="9"/>
      <c r="J70" s="9"/>
    </row>
    <row r="71" spans="1:10" ht="15" thickBot="1" x14ac:dyDescent="0.35">
      <c r="A71" s="88">
        <v>223.23060000000001</v>
      </c>
      <c r="B71" s="89">
        <v>893</v>
      </c>
      <c r="C71" s="90">
        <v>44319</v>
      </c>
      <c r="E71" s="91">
        <f>B71/C71</f>
        <v>2.0149371601344796E-2</v>
      </c>
      <c r="F71" s="92">
        <f>C71/B71</f>
        <v>49.629339305711085</v>
      </c>
      <c r="H71" s="9"/>
      <c r="J71" s="9"/>
    </row>
    <row r="72" spans="1:10" x14ac:dyDescent="0.3">
      <c r="H72" s="9"/>
      <c r="J72" s="9"/>
    </row>
    <row r="73" spans="1:10" x14ac:dyDescent="0.3">
      <c r="H73" s="9"/>
      <c r="J73" s="9"/>
    </row>
    <row r="74" spans="1:10" x14ac:dyDescent="0.3">
      <c r="A74" t="s">
        <v>291</v>
      </c>
      <c r="B74">
        <f>(SUM(B15:B71))</f>
        <v>1490227</v>
      </c>
      <c r="C74">
        <f>SUM(C15:C71)</f>
        <v>1586132</v>
      </c>
      <c r="H74" s="9"/>
      <c r="I74" s="27"/>
    </row>
    <row r="75" spans="1:10" x14ac:dyDescent="0.3">
      <c r="A75" t="s">
        <v>292</v>
      </c>
      <c r="B75" s="5">
        <f>C74/B74</f>
        <v>1.0643559672452587</v>
      </c>
      <c r="H75" s="9"/>
      <c r="I75" s="27"/>
    </row>
    <row r="76" spans="1:10" ht="15" thickBot="1" x14ac:dyDescent="0.35">
      <c r="A76" s="32"/>
      <c r="B76" s="32"/>
      <c r="C76" s="32"/>
      <c r="D76" s="32"/>
      <c r="E76" s="32"/>
      <c r="F76" s="32"/>
      <c r="G76" s="32"/>
      <c r="H76" s="9"/>
      <c r="I76" s="27"/>
    </row>
    <row r="77" spans="1:10" x14ac:dyDescent="0.3">
      <c r="A77" s="9"/>
      <c r="C77" s="21"/>
      <c r="D77" s="98"/>
      <c r="H77" s="9"/>
      <c r="I77" s="27"/>
    </row>
    <row r="78" spans="1:10" x14ac:dyDescent="0.3">
      <c r="A78" s="9" t="s">
        <v>293</v>
      </c>
      <c r="H78" s="9"/>
      <c r="I78" s="27"/>
    </row>
    <row r="79" spans="1:10" ht="15" thickBot="1" x14ac:dyDescent="0.35">
      <c r="H79" s="9"/>
      <c r="I79" s="27"/>
    </row>
    <row r="80" spans="1:10" ht="15" thickBot="1" x14ac:dyDescent="0.35">
      <c r="A80" s="99" t="s">
        <v>286</v>
      </c>
      <c r="B80" s="74" t="s">
        <v>287</v>
      </c>
      <c r="C80" s="75" t="s">
        <v>288</v>
      </c>
      <c r="D80" s="76" t="s">
        <v>289</v>
      </c>
      <c r="E80" s="77" t="s">
        <v>290</v>
      </c>
      <c r="H80" s="9"/>
      <c r="I80" s="27"/>
    </row>
    <row r="81" spans="1:9" x14ac:dyDescent="0.3">
      <c r="A81" s="100">
        <v>135.114</v>
      </c>
      <c r="B81" s="94">
        <v>94896</v>
      </c>
      <c r="C81" s="95">
        <v>4922</v>
      </c>
      <c r="D81" s="101">
        <f t="shared" ref="D81:D88" si="4">B81/C81</f>
        <v>19.279967492889071</v>
      </c>
      <c r="E81" s="102">
        <f t="shared" ref="E81:E88" si="5">C81/B81</f>
        <v>5.1867307368066093E-2</v>
      </c>
      <c r="H81" s="9"/>
      <c r="I81" s="27"/>
    </row>
    <row r="82" spans="1:9" ht="15" thickBot="1" x14ac:dyDescent="0.35">
      <c r="A82" s="103">
        <v>139.11879999999999</v>
      </c>
      <c r="B82" s="89">
        <v>7732</v>
      </c>
      <c r="C82" s="90">
        <v>293998</v>
      </c>
      <c r="D82" s="104">
        <f t="shared" si="4"/>
        <v>2.6299498636045145E-2</v>
      </c>
      <c r="E82" s="105">
        <f t="shared" si="5"/>
        <v>38.023538541127778</v>
      </c>
      <c r="H82" s="9"/>
      <c r="I82" s="27"/>
    </row>
    <row r="83" spans="1:9" x14ac:dyDescent="0.3">
      <c r="A83" s="100">
        <v>166.1206</v>
      </c>
      <c r="B83" s="79">
        <v>58292</v>
      </c>
      <c r="C83" s="80">
        <v>3605</v>
      </c>
      <c r="D83" s="106">
        <f t="shared" si="4"/>
        <v>16.169764216366158</v>
      </c>
      <c r="E83" s="107">
        <f t="shared" si="5"/>
        <v>6.1843820764427362E-2</v>
      </c>
      <c r="H83" s="9"/>
    </row>
    <row r="84" spans="1:9" ht="15" thickBot="1" x14ac:dyDescent="0.35">
      <c r="A84" s="103">
        <v>170.11940000000001</v>
      </c>
      <c r="B84" s="89">
        <v>948</v>
      </c>
      <c r="C84" s="90">
        <v>34910</v>
      </c>
      <c r="D84" s="104">
        <f t="shared" si="4"/>
        <v>2.7155542824405614E-2</v>
      </c>
      <c r="E84" s="105">
        <f t="shared" si="5"/>
        <v>36.824894514767934</v>
      </c>
      <c r="H84" s="9"/>
    </row>
    <row r="85" spans="1:9" x14ac:dyDescent="0.3">
      <c r="A85" s="108">
        <v>191.17689999999999</v>
      </c>
      <c r="B85" s="94">
        <v>176750</v>
      </c>
      <c r="C85" s="95">
        <v>2272</v>
      </c>
      <c r="D85" s="101">
        <f t="shared" si="4"/>
        <v>77.794894366197184</v>
      </c>
      <c r="E85" s="102">
        <f t="shared" si="5"/>
        <v>1.2854314002828854E-2</v>
      </c>
      <c r="H85" s="9"/>
    </row>
    <row r="86" spans="1:9" ht="15" thickBot="1" x14ac:dyDescent="0.35">
      <c r="A86" s="103">
        <v>195.17939999999999</v>
      </c>
      <c r="B86" s="89">
        <v>1526</v>
      </c>
      <c r="C86" s="90">
        <v>81912</v>
      </c>
      <c r="D86" s="104">
        <f t="shared" si="4"/>
        <v>1.8629748998925676E-2</v>
      </c>
      <c r="E86" s="105">
        <f t="shared" si="5"/>
        <v>53.677588466579294</v>
      </c>
      <c r="H86" s="9"/>
    </row>
    <row r="87" spans="1:9" x14ac:dyDescent="0.3">
      <c r="A87" s="100">
        <v>205.1909</v>
      </c>
      <c r="B87" s="79">
        <v>9164</v>
      </c>
      <c r="C87" s="80">
        <v>513</v>
      </c>
      <c r="D87" s="106">
        <f t="shared" si="4"/>
        <v>17.8635477582846</v>
      </c>
      <c r="E87" s="107">
        <f t="shared" si="5"/>
        <v>5.5979921431689221E-2</v>
      </c>
      <c r="H87" s="9"/>
    </row>
    <row r="88" spans="1:9" ht="15" thickBot="1" x14ac:dyDescent="0.35">
      <c r="A88" s="103">
        <v>209.1883</v>
      </c>
      <c r="B88" s="89">
        <v>364</v>
      </c>
      <c r="C88" s="90">
        <v>9887</v>
      </c>
      <c r="D88" s="104">
        <f t="shared" si="4"/>
        <v>3.6816021037726306E-2</v>
      </c>
      <c r="E88" s="105">
        <f t="shared" si="5"/>
        <v>27.162087912087912</v>
      </c>
      <c r="H88" s="9"/>
    </row>
    <row r="89" spans="1:9" x14ac:dyDescent="0.3">
      <c r="H89" s="9"/>
    </row>
    <row r="90" spans="1:9" x14ac:dyDescent="0.3">
      <c r="A90" t="s">
        <v>294</v>
      </c>
      <c r="D90" s="109"/>
      <c r="E90" s="27"/>
      <c r="H90" s="9"/>
    </row>
    <row r="91" spans="1:9" ht="15" thickBot="1" x14ac:dyDescent="0.35">
      <c r="H91" s="9"/>
    </row>
    <row r="92" spans="1:9" ht="15" thickBot="1" x14ac:dyDescent="0.35">
      <c r="A92" s="99" t="s">
        <v>286</v>
      </c>
      <c r="B92" s="74" t="s">
        <v>287</v>
      </c>
      <c r="C92" s="75" t="s">
        <v>288</v>
      </c>
      <c r="D92" s="76" t="s">
        <v>289</v>
      </c>
      <c r="E92" s="77" t="s">
        <v>290</v>
      </c>
      <c r="F92" s="110" t="s">
        <v>295</v>
      </c>
      <c r="G92" s="111" t="s">
        <v>296</v>
      </c>
      <c r="H92" s="9"/>
    </row>
    <row r="93" spans="1:9" x14ac:dyDescent="0.3">
      <c r="A93" s="100">
        <v>135.114</v>
      </c>
      <c r="B93" s="112">
        <f t="shared" ref="B93:B100" si="6">B81*$B$75</f>
        <v>101003.12386770608</v>
      </c>
      <c r="C93" s="95">
        <v>4922</v>
      </c>
      <c r="D93" s="113">
        <f>B93/C93</f>
        <v>20.520748449351093</v>
      </c>
      <c r="E93" s="114">
        <f t="shared" ref="E93:E100" si="7">C93/B93</f>
        <v>4.8731166042417035E-2</v>
      </c>
      <c r="F93" s="115">
        <f>(D93*E94)</f>
        <v>733.09258703755836</v>
      </c>
      <c r="G93" s="116">
        <f>B93/C94</f>
        <v>0.34355037744374478</v>
      </c>
      <c r="H93" s="9"/>
    </row>
    <row r="94" spans="1:9" ht="15" thickBot="1" x14ac:dyDescent="0.35">
      <c r="A94" s="103">
        <v>139.11879999999999</v>
      </c>
      <c r="B94" s="117">
        <f t="shared" si="6"/>
        <v>8229.6003387403398</v>
      </c>
      <c r="C94" s="90">
        <v>293998</v>
      </c>
      <c r="D94" s="118">
        <f t="shared" ref="D94:D100" si="8">B94/C94</f>
        <v>2.799202830883319E-2</v>
      </c>
      <c r="E94" s="119">
        <f>C94/B94</f>
        <v>35.724456583392318</v>
      </c>
      <c r="F94" s="120"/>
      <c r="G94" s="121"/>
      <c r="H94" s="9"/>
    </row>
    <row r="95" spans="1:9" x14ac:dyDescent="0.3">
      <c r="A95" s="108">
        <v>166.1206</v>
      </c>
      <c r="B95" s="112">
        <f t="shared" si="6"/>
        <v>62043.438042660622</v>
      </c>
      <c r="C95" s="95">
        <v>3605</v>
      </c>
      <c r="D95" s="113">
        <f t="shared" si="8"/>
        <v>17.210385032638175</v>
      </c>
      <c r="E95" s="114">
        <f t="shared" si="7"/>
        <v>5.8104452521171183E-2</v>
      </c>
      <c r="F95" s="115">
        <f>(D95*E96)</f>
        <v>595.449861596353</v>
      </c>
      <c r="G95" s="116">
        <f>B95/C96</f>
        <v>1.7772397033131087</v>
      </c>
      <c r="H95" s="9"/>
    </row>
    <row r="96" spans="1:9" ht="15" thickBot="1" x14ac:dyDescent="0.35">
      <c r="A96" s="103">
        <v>170.11940000000001</v>
      </c>
      <c r="B96" s="117">
        <f t="shared" si="6"/>
        <v>1009.0094569485053</v>
      </c>
      <c r="C96" s="90">
        <v>34910</v>
      </c>
      <c r="D96" s="118">
        <f t="shared" si="8"/>
        <v>2.8903164048940284E-2</v>
      </c>
      <c r="E96" s="119">
        <f t="shared" si="7"/>
        <v>34.598288211863242</v>
      </c>
      <c r="F96" s="120"/>
      <c r="G96" s="121"/>
      <c r="H96" s="9"/>
    </row>
    <row r="97" spans="1:8" x14ac:dyDescent="0.3">
      <c r="A97" s="108">
        <v>191.17689999999999</v>
      </c>
      <c r="B97" s="112">
        <f t="shared" si="6"/>
        <v>188124.91721059947</v>
      </c>
      <c r="C97" s="95">
        <v>2272</v>
      </c>
      <c r="D97" s="113">
        <f t="shared" si="8"/>
        <v>82.801460039876531</v>
      </c>
      <c r="E97" s="114">
        <f t="shared" si="7"/>
        <v>1.2077081726800566E-2</v>
      </c>
      <c r="F97" s="115">
        <f>(D97*E98)</f>
        <v>4175.8423245897402</v>
      </c>
      <c r="G97" s="116">
        <f>B97/C98</f>
        <v>2.296671027573487</v>
      </c>
      <c r="H97" s="9"/>
    </row>
    <row r="98" spans="1:8" ht="15" thickBot="1" x14ac:dyDescent="0.35">
      <c r="A98" s="103">
        <v>195.17939999999999</v>
      </c>
      <c r="B98" s="117">
        <f t="shared" si="6"/>
        <v>1624.2072060162648</v>
      </c>
      <c r="C98" s="90">
        <v>81912</v>
      </c>
      <c r="D98" s="118">
        <f t="shared" si="8"/>
        <v>1.982868451528793E-2</v>
      </c>
      <c r="E98" s="119">
        <f t="shared" si="7"/>
        <v>50.431989032303143</v>
      </c>
      <c r="F98" s="120"/>
      <c r="G98" s="121"/>
      <c r="H98" s="9"/>
    </row>
    <row r="99" spans="1:8" x14ac:dyDescent="0.3">
      <c r="A99" s="108">
        <v>205.1909</v>
      </c>
      <c r="B99" s="112">
        <f t="shared" si="6"/>
        <v>9753.7580838355516</v>
      </c>
      <c r="C99" s="95">
        <v>513</v>
      </c>
      <c r="D99" s="113">
        <f t="shared" si="8"/>
        <v>19.013173652700882</v>
      </c>
      <c r="E99" s="114">
        <f t="shared" si="7"/>
        <v>5.2595112118904302E-2</v>
      </c>
      <c r="F99" s="115">
        <f>(D99*E100)</f>
        <v>485.21125463230737</v>
      </c>
      <c r="G99" s="116">
        <f>B99/C100</f>
        <v>0.98652352420709533</v>
      </c>
      <c r="H99" s="9"/>
    </row>
    <row r="100" spans="1:8" ht="15" thickBot="1" x14ac:dyDescent="0.35">
      <c r="A100" s="103">
        <v>209.1883</v>
      </c>
      <c r="B100" s="117">
        <f t="shared" si="6"/>
        <v>387.42557207727418</v>
      </c>
      <c r="C100" s="90">
        <v>9887</v>
      </c>
      <c r="D100" s="118">
        <f t="shared" si="8"/>
        <v>3.9185351681730977E-2</v>
      </c>
      <c r="E100" s="119">
        <f t="shared" si="7"/>
        <v>25.519740338740426</v>
      </c>
      <c r="F100" s="122"/>
      <c r="G100" s="121"/>
      <c r="H100" s="9"/>
    </row>
    <row r="101" spans="1:8" ht="15" thickBot="1" x14ac:dyDescent="0.35">
      <c r="H101" s="9"/>
    </row>
    <row r="102" spans="1:8" ht="15" thickBot="1" x14ac:dyDescent="0.35">
      <c r="E102" s="76" t="s">
        <v>297</v>
      </c>
      <c r="F102" s="123">
        <f>SUM(F93:F100)</f>
        <v>5989.5960278559596</v>
      </c>
      <c r="H102" s="9"/>
    </row>
    <row r="103" spans="1:8" x14ac:dyDescent="0.3">
      <c r="H103" s="9"/>
    </row>
    <row r="104" spans="1:8" x14ac:dyDescent="0.3">
      <c r="A104" t="s">
        <v>298</v>
      </c>
      <c r="H104" s="9"/>
    </row>
    <row r="105" spans="1:8" x14ac:dyDescent="0.3">
      <c r="H105" s="9"/>
    </row>
    <row r="106" spans="1:8" x14ac:dyDescent="0.3">
      <c r="A106" t="s">
        <v>299</v>
      </c>
      <c r="H106" s="9"/>
    </row>
    <row r="107" spans="1:8" x14ac:dyDescent="0.3">
      <c r="H107" s="9"/>
    </row>
    <row r="108" spans="1:8" x14ac:dyDescent="0.3">
      <c r="A108" t="s">
        <v>300</v>
      </c>
      <c r="H108" s="9"/>
    </row>
    <row r="109" spans="1:8" x14ac:dyDescent="0.3">
      <c r="H109" s="9"/>
    </row>
    <row r="110" spans="1:8" x14ac:dyDescent="0.3">
      <c r="H110" s="9"/>
    </row>
    <row r="111" spans="1:8" x14ac:dyDescent="0.3">
      <c r="H111" s="9"/>
    </row>
    <row r="112" spans="1:8" x14ac:dyDescent="0.3">
      <c r="H112" s="9"/>
    </row>
    <row r="113" spans="1:14" x14ac:dyDescent="0.3">
      <c r="H113" s="9"/>
    </row>
    <row r="114" spans="1:14" x14ac:dyDescent="0.3">
      <c r="H114" s="9"/>
    </row>
    <row r="115" spans="1:14" x14ac:dyDescent="0.3">
      <c r="H115" s="9"/>
    </row>
    <row r="116" spans="1:14" x14ac:dyDescent="0.3">
      <c r="H116" s="9"/>
    </row>
    <row r="117" spans="1:14" x14ac:dyDescent="0.3">
      <c r="H117" s="9"/>
    </row>
    <row r="118" spans="1:14" x14ac:dyDescent="0.3">
      <c r="H118" s="9"/>
    </row>
    <row r="119" spans="1:14" x14ac:dyDescent="0.3">
      <c r="H119" s="9"/>
      <c r="M119" s="72"/>
      <c r="N119" s="27"/>
    </row>
    <row r="120" spans="1:14" x14ac:dyDescent="0.3">
      <c r="A120" t="s">
        <v>301</v>
      </c>
    </row>
    <row r="122" spans="1:14" ht="15" thickBot="1" x14ac:dyDescent="0.35">
      <c r="A122" s="16" t="s">
        <v>286</v>
      </c>
      <c r="B122" t="s">
        <v>302</v>
      </c>
      <c r="D122" t="s">
        <v>172</v>
      </c>
    </row>
    <row r="123" spans="1:14" x14ac:dyDescent="0.3">
      <c r="A123" s="124">
        <v>135.114</v>
      </c>
      <c r="B123" s="125">
        <v>94896</v>
      </c>
      <c r="C123" s="126"/>
      <c r="D123" s="127">
        <f>(B124*G93)/(B123+(B124*G93))</f>
        <v>2.722981067750432E-2</v>
      </c>
      <c r="H123" s="21"/>
    </row>
    <row r="124" spans="1:14" ht="15" thickBot="1" x14ac:dyDescent="0.35">
      <c r="A124" s="128">
        <v>139.11879999999999</v>
      </c>
      <c r="B124" s="129">
        <v>7732</v>
      </c>
      <c r="C124" s="32"/>
      <c r="D124" s="130"/>
      <c r="H124" s="21"/>
    </row>
    <row r="125" spans="1:14" x14ac:dyDescent="0.3">
      <c r="A125" s="124">
        <v>166.1206</v>
      </c>
      <c r="B125" s="131">
        <v>58292</v>
      </c>
      <c r="C125" s="126"/>
      <c r="D125" s="127">
        <f>(B126*G95)/(B125+(B126*G95))</f>
        <v>2.8091238377769719E-2</v>
      </c>
    </row>
    <row r="126" spans="1:14" ht="15" thickBot="1" x14ac:dyDescent="0.35">
      <c r="A126" s="128">
        <v>170.11940000000001</v>
      </c>
      <c r="B126" s="129">
        <v>948</v>
      </c>
      <c r="C126" s="32"/>
      <c r="D126" s="132"/>
      <c r="H126" s="21"/>
    </row>
    <row r="127" spans="1:14" x14ac:dyDescent="0.3">
      <c r="A127" s="124">
        <v>191.17689999999999</v>
      </c>
      <c r="B127" s="125">
        <v>176750</v>
      </c>
      <c r="C127" s="126"/>
      <c r="D127" s="127">
        <f>(B128*G97)/(B127+(B128*G97))</f>
        <v>1.9443152380747415E-2</v>
      </c>
      <c r="H127" s="21"/>
    </row>
    <row r="128" spans="1:14" ht="15" thickBot="1" x14ac:dyDescent="0.35">
      <c r="A128" s="128">
        <v>195.17939999999999</v>
      </c>
      <c r="B128" s="129">
        <v>1526</v>
      </c>
      <c r="C128" s="32"/>
      <c r="D128" s="130"/>
    </row>
    <row r="129" spans="1:9" x14ac:dyDescent="0.3">
      <c r="A129" s="124">
        <v>205.1909</v>
      </c>
      <c r="B129" s="131">
        <v>9164</v>
      </c>
      <c r="C129" s="126"/>
      <c r="D129" s="127">
        <f>(B130*G99)/(B129+(B130*G99))</f>
        <v>3.7707759850845346E-2</v>
      </c>
      <c r="H129" s="21"/>
    </row>
    <row r="130" spans="1:9" ht="15" thickBot="1" x14ac:dyDescent="0.35">
      <c r="A130" s="128">
        <v>209.1883</v>
      </c>
      <c r="B130" s="129">
        <v>364</v>
      </c>
      <c r="C130" s="32"/>
      <c r="D130" s="133"/>
      <c r="H130" s="21"/>
      <c r="I130" s="29"/>
    </row>
    <row r="131" spans="1:9" x14ac:dyDescent="0.3">
      <c r="D131" s="29"/>
    </row>
    <row r="132" spans="1:9" ht="15" thickBot="1" x14ac:dyDescent="0.35">
      <c r="H132" s="21"/>
    </row>
    <row r="133" spans="1:9" ht="15.6" x14ac:dyDescent="0.3">
      <c r="C133" s="134"/>
      <c r="D133" s="135" t="s">
        <v>172</v>
      </c>
      <c r="E133" s="135" t="s">
        <v>303</v>
      </c>
      <c r="F133" s="136" t="s">
        <v>349</v>
      </c>
      <c r="H133" s="21"/>
    </row>
    <row r="134" spans="1:9" ht="16.2" thickBot="1" x14ac:dyDescent="0.35">
      <c r="C134" s="137" t="s">
        <v>305</v>
      </c>
      <c r="D134" s="138">
        <f>(D123*F93+D125*F95+D127*F97+D129*F99)/(SUM(F93:F100))</f>
        <v>2.2735534053796424E-2</v>
      </c>
      <c r="E134" s="138">
        <f>1-D134</f>
        <v>0.97726446594620353</v>
      </c>
      <c r="F134" s="139">
        <f>SQRT((SUM(F93*(D123-D134)^2,F95*(D125-D134)^2,F97*(D127-D134)^2,F99*(D129-D134)^2))/(F102))</f>
        <v>5.5714117865594435E-3</v>
      </c>
    </row>
    <row r="135" spans="1:9" x14ac:dyDescent="0.3">
      <c r="C135" t="s">
        <v>306</v>
      </c>
    </row>
    <row r="136" spans="1:9" x14ac:dyDescent="0.3">
      <c r="G136" s="31"/>
    </row>
    <row r="137" spans="1:9" ht="15" thickBot="1" x14ac:dyDescent="0.35">
      <c r="A137" s="32"/>
      <c r="B137" s="32"/>
      <c r="C137" s="32"/>
      <c r="D137" s="32"/>
      <c r="E137" s="32"/>
      <c r="F137" s="32"/>
      <c r="G137" s="32"/>
    </row>
    <row r="139" spans="1:9" x14ac:dyDescent="0.3">
      <c r="A139" t="s">
        <v>307</v>
      </c>
    </row>
    <row r="140" spans="1:9" x14ac:dyDescent="0.3">
      <c r="H140" s="9"/>
    </row>
    <row r="141" spans="1:9" x14ac:dyDescent="0.3">
      <c r="H141" s="9"/>
    </row>
    <row r="142" spans="1:9" x14ac:dyDescent="0.3">
      <c r="H142" s="9"/>
    </row>
    <row r="143" spans="1:9" x14ac:dyDescent="0.3">
      <c r="H143" s="9"/>
    </row>
    <row r="144" spans="1:9" x14ac:dyDescent="0.3">
      <c r="H144" s="9"/>
    </row>
    <row r="145" spans="1:14" x14ac:dyDescent="0.3">
      <c r="H145" s="9"/>
    </row>
    <row r="146" spans="1:14" x14ac:dyDescent="0.3">
      <c r="H146" s="9"/>
      <c r="N146" s="29"/>
    </row>
    <row r="148" spans="1:14" ht="15" thickBot="1" x14ac:dyDescent="0.35">
      <c r="A148" s="16" t="s">
        <v>286</v>
      </c>
      <c r="B148" t="s">
        <v>302</v>
      </c>
      <c r="H148" s="140"/>
    </row>
    <row r="149" spans="1:14" x14ac:dyDescent="0.3">
      <c r="A149" s="141">
        <v>135.114</v>
      </c>
      <c r="B149" s="142">
        <v>94896</v>
      </c>
      <c r="H149" s="9"/>
    </row>
    <row r="150" spans="1:14" ht="15" thickBot="1" x14ac:dyDescent="0.35">
      <c r="A150" s="143">
        <v>139.11879999999999</v>
      </c>
      <c r="B150" s="144">
        <v>7732</v>
      </c>
      <c r="D150" s="31">
        <f>(B150*0.343550377443745)/(B149+(B150*0.343550377443745))</f>
        <v>2.7229810677504341E-2</v>
      </c>
    </row>
    <row r="151" spans="1:14" x14ac:dyDescent="0.3">
      <c r="A151" s="141">
        <v>166.1206</v>
      </c>
      <c r="B151" s="142">
        <v>58292</v>
      </c>
      <c r="D151" s="31"/>
    </row>
    <row r="152" spans="1:14" ht="15" thickBot="1" x14ac:dyDescent="0.35">
      <c r="A152" s="143">
        <v>170.11940000000001</v>
      </c>
      <c r="B152" s="144">
        <v>948</v>
      </c>
      <c r="D152" s="31">
        <f>(B152*1.77723970331311)/(B151+(B152*1.77723970331311))</f>
        <v>2.8091238377769737E-2</v>
      </c>
    </row>
    <row r="153" spans="1:14" x14ac:dyDescent="0.3">
      <c r="A153" s="141">
        <v>191.17689999999999</v>
      </c>
      <c r="B153" s="142">
        <v>176750</v>
      </c>
      <c r="D153" s="31"/>
    </row>
    <row r="154" spans="1:14" ht="15" thickBot="1" x14ac:dyDescent="0.35">
      <c r="A154" s="143">
        <v>195.17939999999999</v>
      </c>
      <c r="B154" s="144">
        <v>1526</v>
      </c>
      <c r="D154" s="31">
        <f>(B154*2.29667102757349)/(B153+(B154*2.29667102757349))</f>
        <v>1.9443152380747442E-2</v>
      </c>
      <c r="J154" s="9"/>
    </row>
    <row r="155" spans="1:14" x14ac:dyDescent="0.3">
      <c r="A155" s="141">
        <v>205.1909</v>
      </c>
      <c r="B155" s="142">
        <v>9164</v>
      </c>
      <c r="D155" s="31"/>
      <c r="J155" s="9"/>
    </row>
    <row r="156" spans="1:14" ht="15" thickBot="1" x14ac:dyDescent="0.35">
      <c r="A156" s="143">
        <v>209.1883</v>
      </c>
      <c r="B156" s="144">
        <v>364</v>
      </c>
      <c r="D156" s="31">
        <f>(B156*0.986523524207095)/(B155+(B156*0.986523524207095))</f>
        <v>3.7707759850845339E-2</v>
      </c>
      <c r="G156" s="9"/>
      <c r="J156" s="9"/>
      <c r="L156" s="29"/>
      <c r="M156" s="29"/>
      <c r="N156" s="31"/>
    </row>
    <row r="157" spans="1:14" ht="15" thickBot="1" x14ac:dyDescent="0.35">
      <c r="F157" s="27"/>
      <c r="G157" s="27"/>
      <c r="J157" s="9"/>
    </row>
    <row r="158" spans="1:14" x14ac:dyDescent="0.3">
      <c r="C158" s="145"/>
      <c r="D158" s="125" t="s">
        <v>172</v>
      </c>
      <c r="E158" s="125" t="s">
        <v>303</v>
      </c>
      <c r="F158" s="146" t="s">
        <v>304</v>
      </c>
      <c r="G158" s="27"/>
      <c r="J158" s="9"/>
      <c r="L158" s="29"/>
      <c r="N158" s="140"/>
    </row>
    <row r="159" spans="1:14" ht="15" thickBot="1" x14ac:dyDescent="0.35">
      <c r="C159" s="147" t="s">
        <v>175</v>
      </c>
      <c r="D159" s="148">
        <f>(((B150*0.343550377443745)/(B149+(B150*0.343550377443745)))*733.092587+((B152*1.77723970331311)/(B151+(B152*1.77723970331311)))*595.4498616+((B154*2.29667102757349)/(B153+(B154*2.29667102757349)))*4175.842325+((B156*0.986523524207095)/(B155+(B156*0.986523524207095)))*485.2112546)/5989.596028</f>
        <v>2.2735534054224425E-2</v>
      </c>
      <c r="E159" s="148">
        <f>1-D159</f>
        <v>0.97726446594577554</v>
      </c>
      <c r="F159" s="149">
        <f>SQRT((SUM(733.092587*(D150-D159)^2,595.4498616*(D152-D159)^2,4175.842325*(D154-D159)^2,485.2112546*(D156-D159)^2))/(5989.59602785596))</f>
        <v>5.5714117865077548E-3</v>
      </c>
      <c r="G159" s="27"/>
      <c r="J159" s="9"/>
      <c r="L159" s="150"/>
    </row>
    <row r="160" spans="1:14" ht="15" thickBot="1" x14ac:dyDescent="0.35">
      <c r="A160" s="151"/>
      <c r="B160" s="32"/>
      <c r="C160" s="37"/>
      <c r="D160" s="32"/>
      <c r="E160" s="32"/>
      <c r="F160" s="152"/>
      <c r="G160" s="151"/>
      <c r="J160" s="9"/>
      <c r="M160" s="72"/>
    </row>
    <row r="161" spans="1:13" x14ac:dyDescent="0.3">
      <c r="A161" s="27"/>
      <c r="C161" s="9"/>
      <c r="F161" s="153"/>
      <c r="G161" s="27"/>
      <c r="J161" s="9"/>
      <c r="M161" s="72"/>
    </row>
    <row r="162" spans="1:13" ht="16.2" x14ac:dyDescent="0.3">
      <c r="A162" s="71" t="s">
        <v>308</v>
      </c>
      <c r="C162" s="9"/>
      <c r="F162" s="153"/>
      <c r="G162" s="27"/>
      <c r="M162" s="72"/>
    </row>
    <row r="163" spans="1:13" x14ac:dyDescent="0.3">
      <c r="A163" s="27"/>
      <c r="C163" s="9"/>
      <c r="F163" s="153"/>
      <c r="G163" s="27"/>
      <c r="H163" s="9"/>
      <c r="M163" s="72"/>
    </row>
    <row r="164" spans="1:13" ht="15" thickBot="1" x14ac:dyDescent="0.35">
      <c r="A164" s="16" t="s">
        <v>286</v>
      </c>
      <c r="B164" t="s">
        <v>302</v>
      </c>
      <c r="F164" s="3"/>
      <c r="G164" s="27"/>
      <c r="M164" s="72"/>
    </row>
    <row r="165" spans="1:13" x14ac:dyDescent="0.3">
      <c r="A165" s="108">
        <v>135.114</v>
      </c>
      <c r="B165" s="154">
        <v>4922</v>
      </c>
      <c r="F165" s="3"/>
      <c r="G165" s="9"/>
      <c r="H165" s="9"/>
      <c r="M165" s="72"/>
    </row>
    <row r="166" spans="1:13" ht="15" thickBot="1" x14ac:dyDescent="0.35">
      <c r="A166" s="103">
        <v>139.11879999999999</v>
      </c>
      <c r="B166" s="155">
        <v>293998</v>
      </c>
      <c r="D166" s="31">
        <f>(B166*0.343550377443745)/(B165+(B166*0.343550377443745))</f>
        <v>0.95353321459272244</v>
      </c>
      <c r="F166" s="3"/>
      <c r="H166" s="9"/>
      <c r="M166" s="72"/>
    </row>
    <row r="167" spans="1:13" x14ac:dyDescent="0.3">
      <c r="A167" s="108">
        <v>166.1206</v>
      </c>
      <c r="B167" s="154">
        <v>3605</v>
      </c>
      <c r="D167" s="31"/>
      <c r="F167" s="3"/>
      <c r="G167" s="9"/>
      <c r="M167" s="72"/>
    </row>
    <row r="168" spans="1:13" ht="15" thickBot="1" x14ac:dyDescent="0.35">
      <c r="A168" s="103">
        <v>170.11940000000001</v>
      </c>
      <c r="B168" s="155">
        <v>34910</v>
      </c>
      <c r="D168" s="31">
        <f>(B168*1.77723970331311)/(B167+(B168*1.77723970331311))</f>
        <v>0.94508627916391019</v>
      </c>
      <c r="F168" s="3"/>
      <c r="G168" s="9"/>
      <c r="M168" s="72"/>
    </row>
    <row r="169" spans="1:13" x14ac:dyDescent="0.3">
      <c r="A169" s="108">
        <v>191.17689999999999</v>
      </c>
      <c r="B169" s="154">
        <v>2272</v>
      </c>
      <c r="D169" s="31"/>
      <c r="F169" s="3"/>
      <c r="M169" s="72"/>
    </row>
    <row r="170" spans="1:13" ht="15" thickBot="1" x14ac:dyDescent="0.35">
      <c r="A170" s="103">
        <v>195.17939999999999</v>
      </c>
      <c r="B170" s="155">
        <v>81912</v>
      </c>
      <c r="D170" s="31">
        <f>(B170*2.29667102757349)/(B169+(B170*2.29667102757349))</f>
        <v>0.98806703368265714</v>
      </c>
      <c r="F170" s="3"/>
      <c r="M170" s="72"/>
    </row>
    <row r="171" spans="1:13" x14ac:dyDescent="0.3">
      <c r="A171" s="108">
        <v>205.1909</v>
      </c>
      <c r="B171" s="156">
        <v>513</v>
      </c>
      <c r="D171" s="31"/>
      <c r="F171" s="3"/>
      <c r="M171" s="72"/>
    </row>
    <row r="172" spans="1:13" ht="15" thickBot="1" x14ac:dyDescent="0.35">
      <c r="A172" s="103">
        <v>209.1883</v>
      </c>
      <c r="B172" s="155">
        <v>9887</v>
      </c>
      <c r="D172" s="31">
        <f>(B172*0.986523524207095)/(B171+(B172*0.986523524207095))</f>
        <v>0.95003291245289101</v>
      </c>
      <c r="F172" s="3"/>
      <c r="M172" s="72"/>
    </row>
    <row r="173" spans="1:13" ht="15" thickBot="1" x14ac:dyDescent="0.35">
      <c r="F173" s="153"/>
      <c r="M173" s="72"/>
    </row>
    <row r="174" spans="1:13" x14ac:dyDescent="0.3">
      <c r="C174" s="145"/>
      <c r="D174" s="125" t="s">
        <v>172</v>
      </c>
      <c r="E174" s="125" t="s">
        <v>303</v>
      </c>
      <c r="F174" s="146" t="s">
        <v>304</v>
      </c>
      <c r="M174" s="72"/>
    </row>
    <row r="175" spans="1:13" ht="15" thickBot="1" x14ac:dyDescent="0.35">
      <c r="C175" s="147" t="s">
        <v>175</v>
      </c>
      <c r="D175" s="148">
        <f>(((B166*0.343550377443745)/(B165+(B166*0.343550377443745)))*733.092587+((B168*1.77723970331311)/(B167+(B168*1.77723970331311)))*595.4498616+((B170*2.29667102757349)/(B169+(B170*2.29667102757349)))*4175.842325+((B172*0.986523524207095)/(B171+(B172*0.986523524207095)))*485.2112546)/5989.596028</f>
        <v>0.97648629363559714</v>
      </c>
      <c r="E175" s="148">
        <f>1-D175</f>
        <v>2.3513706364402864E-2</v>
      </c>
      <c r="F175" s="149">
        <f>SQRT((SUM(733.092587*(D166-D175)^2,595.4498616*(D168-D175)^2,4175.842325*(D170-D175)^2,485.2112546*(D172-D175)^2))/(5989.59602785596))</f>
        <v>1.768307866306924E-2</v>
      </c>
      <c r="M175" s="72"/>
    </row>
    <row r="176" spans="1:13" ht="15" thickBot="1" x14ac:dyDescent="0.35">
      <c r="A176" s="151"/>
      <c r="B176" s="32"/>
      <c r="C176" s="32"/>
      <c r="D176" s="157"/>
      <c r="E176" s="158"/>
      <c r="F176" s="152"/>
      <c r="G176" s="32"/>
      <c r="M176" s="72"/>
    </row>
    <row r="177" spans="1:13" x14ac:dyDescent="0.3">
      <c r="A177" s="27"/>
      <c r="E177" s="72"/>
      <c r="F177" s="153"/>
      <c r="M177" s="72"/>
    </row>
    <row r="178" spans="1:13" ht="16.2" x14ac:dyDescent="0.3">
      <c r="A178" s="159" t="s">
        <v>309</v>
      </c>
      <c r="E178" s="72"/>
      <c r="F178" s="153"/>
      <c r="M178" s="72"/>
    </row>
    <row r="179" spans="1:13" x14ac:dyDescent="0.3">
      <c r="A179" s="27"/>
      <c r="E179" s="72"/>
      <c r="F179" s="153"/>
      <c r="M179" s="72"/>
    </row>
    <row r="180" spans="1:13" ht="15" thickBot="1" x14ac:dyDescent="0.35">
      <c r="A180" s="16" t="s">
        <v>286</v>
      </c>
      <c r="B180" t="s">
        <v>302</v>
      </c>
      <c r="F180" s="3"/>
      <c r="M180" s="72"/>
    </row>
    <row r="181" spans="1:13" x14ac:dyDescent="0.3">
      <c r="A181" s="108">
        <v>135.114</v>
      </c>
      <c r="B181" s="154">
        <v>12102</v>
      </c>
      <c r="F181" s="3"/>
      <c r="M181" s="72"/>
    </row>
    <row r="182" spans="1:13" ht="15" thickBot="1" x14ac:dyDescent="0.35">
      <c r="A182" s="103">
        <v>139.11879999999999</v>
      </c>
      <c r="B182" s="155">
        <v>21811</v>
      </c>
      <c r="D182" s="31">
        <f>(B182*0.343550377443745)/(B181+(B182*0.343550377443745))</f>
        <v>0.38239905536072821</v>
      </c>
      <c r="F182" s="3"/>
      <c r="M182" s="72"/>
    </row>
    <row r="183" spans="1:13" x14ac:dyDescent="0.3">
      <c r="A183" s="108">
        <v>166.1206</v>
      </c>
      <c r="B183" s="156">
        <v>12682</v>
      </c>
      <c r="D183" s="31"/>
      <c r="F183" s="3"/>
      <c r="H183" s="9"/>
      <c r="M183" s="72"/>
    </row>
    <row r="184" spans="1:13" ht="15" thickBot="1" x14ac:dyDescent="0.35">
      <c r="A184" s="103">
        <v>170.11940000000001</v>
      </c>
      <c r="B184" s="155">
        <v>4291</v>
      </c>
      <c r="D184" s="31">
        <f>(B184*1.77723970331311)/(B183+(B184*1.77723970331311))</f>
        <v>0.37552120635535297</v>
      </c>
      <c r="F184" s="3"/>
      <c r="H184" s="9"/>
      <c r="M184" s="72"/>
    </row>
    <row r="185" spans="1:13" x14ac:dyDescent="0.3">
      <c r="A185" s="108">
        <v>191.17689999999999</v>
      </c>
      <c r="B185" s="154">
        <v>27283</v>
      </c>
      <c r="D185" s="31"/>
      <c r="F185" s="3"/>
      <c r="H185" s="9"/>
      <c r="M185" s="72"/>
    </row>
    <row r="186" spans="1:13" ht="15" thickBot="1" x14ac:dyDescent="0.35">
      <c r="A186" s="103">
        <v>195.17939999999999</v>
      </c>
      <c r="B186" s="155">
        <v>6785</v>
      </c>
      <c r="D186" s="31">
        <f>(B186*2.29667102757349)/(B185+(B186*2.29667102757349))</f>
        <v>0.3635269112408715</v>
      </c>
      <c r="F186" s="3"/>
      <c r="H186" s="9"/>
      <c r="M186" s="72"/>
    </row>
    <row r="187" spans="1:13" x14ac:dyDescent="0.3">
      <c r="A187" s="108">
        <v>205.1909</v>
      </c>
      <c r="B187" s="156">
        <v>1700</v>
      </c>
      <c r="D187" s="31"/>
      <c r="F187" s="3"/>
      <c r="H187" s="9"/>
      <c r="M187" s="72"/>
    </row>
    <row r="188" spans="1:13" ht="15" thickBot="1" x14ac:dyDescent="0.35">
      <c r="A188" s="103">
        <v>209.1883</v>
      </c>
      <c r="B188" s="155">
        <v>708</v>
      </c>
      <c r="D188" s="31">
        <f>(B188*0.986523524207095)/(B187+(B188*0.986523524207095))</f>
        <v>0.291211463513118</v>
      </c>
      <c r="F188" s="3"/>
      <c r="H188" s="9"/>
      <c r="M188" s="72"/>
    </row>
    <row r="189" spans="1:13" ht="15" thickBot="1" x14ac:dyDescent="0.35">
      <c r="F189" s="153"/>
      <c r="H189" s="9"/>
      <c r="M189" s="72"/>
    </row>
    <row r="190" spans="1:13" x14ac:dyDescent="0.3">
      <c r="C190" s="145"/>
      <c r="D190" s="125" t="s">
        <v>172</v>
      </c>
      <c r="E190" s="125" t="s">
        <v>303</v>
      </c>
      <c r="F190" s="146" t="s">
        <v>304</v>
      </c>
      <c r="H190" s="9"/>
      <c r="M190" s="72"/>
    </row>
    <row r="191" spans="1:13" ht="15" thickBot="1" x14ac:dyDescent="0.35">
      <c r="C191" s="147" t="s">
        <v>175</v>
      </c>
      <c r="D191" s="148">
        <f>(((B182*0.343550377443745)/(B181+(B182*0.343550377443745)))*733.092587+((B184*1.77723970331311)/(B183+(B184*1.77723970331311)))*595.4498616+((B186*2.29667102757349)/(B185+(B186*2.29667102757349)))*4175.842325+((B188*0.986523524207095)/(B187+(B188*0.986523524207095)))*485.2112546)/5989.596028</f>
        <v>0.36117095289922346</v>
      </c>
      <c r="E191" s="148">
        <f>1-D191</f>
        <v>0.63882904710077648</v>
      </c>
      <c r="F191" s="149">
        <f>SQRT((SUM(733.092587*(D182-D191)^2,595.4498616*(D184-D191)^2,4175.842325*(D186-D191)^2,485.2112546*(D188-D191)^2))/(5989.59602785596))</f>
        <v>2.1817005727898957E-2</v>
      </c>
      <c r="H191" s="9"/>
      <c r="M191" s="72"/>
    </row>
    <row r="192" spans="1:13" x14ac:dyDescent="0.3">
      <c r="F192" s="3"/>
      <c r="H192" s="9"/>
      <c r="M192" s="72"/>
    </row>
    <row r="193" spans="1:18" ht="15" thickBot="1" x14ac:dyDescent="0.35">
      <c r="A193" s="151"/>
      <c r="B193" s="32"/>
      <c r="C193" s="32"/>
      <c r="D193" s="157"/>
      <c r="E193" s="158"/>
      <c r="F193" s="15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</row>
    <row r="194" spans="1:18" x14ac:dyDescent="0.3">
      <c r="A194" s="27"/>
      <c r="E194" s="72"/>
      <c r="F194" s="153"/>
    </row>
    <row r="195" spans="1:18" x14ac:dyDescent="0.3">
      <c r="H195" s="9"/>
      <c r="M195" s="72"/>
    </row>
    <row r="196" spans="1:18" x14ac:dyDescent="0.3">
      <c r="A196" s="1" t="s">
        <v>334</v>
      </c>
      <c r="B196" s="206"/>
      <c r="C196" s="206"/>
      <c r="D196" s="206"/>
      <c r="E196" s="206"/>
    </row>
    <row r="197" spans="1:18" x14ac:dyDescent="0.3">
      <c r="A197" s="1" t="s">
        <v>357</v>
      </c>
      <c r="B197" s="206"/>
      <c r="C197" s="206"/>
      <c r="D197" s="206"/>
      <c r="E197" s="206"/>
    </row>
    <row r="198" spans="1:18" x14ac:dyDescent="0.3">
      <c r="A198" t="s">
        <v>225</v>
      </c>
      <c r="B198" s="206"/>
      <c r="C198" s="206"/>
      <c r="D198" s="206"/>
      <c r="E198" s="206"/>
    </row>
    <row r="199" spans="1:18" x14ac:dyDescent="0.3">
      <c r="B199" s="206"/>
      <c r="C199" s="206"/>
      <c r="D199" s="206"/>
      <c r="E199" s="206"/>
    </row>
    <row r="200" spans="1:18" x14ac:dyDescent="0.3">
      <c r="A200" s="209" t="s">
        <v>226</v>
      </c>
      <c r="B200" s="209"/>
      <c r="C200" s="209"/>
      <c r="D200" s="209" t="s">
        <v>317</v>
      </c>
      <c r="E200" s="209"/>
    </row>
    <row r="201" spans="1:18" ht="16.2" x14ac:dyDescent="0.3">
      <c r="A201" s="206" t="s">
        <v>227</v>
      </c>
      <c r="B201" s="206" t="s">
        <v>12</v>
      </c>
      <c r="C201" s="206" t="s">
        <v>228</v>
      </c>
      <c r="D201" s="206" t="s">
        <v>227</v>
      </c>
      <c r="E201" s="206" t="s">
        <v>12</v>
      </c>
    </row>
    <row r="202" spans="1:18" x14ac:dyDescent="0.3">
      <c r="A202" s="206">
        <v>0</v>
      </c>
      <c r="B202" s="206">
        <v>40</v>
      </c>
      <c r="C202" s="50">
        <v>0</v>
      </c>
      <c r="D202">
        <v>0.01</v>
      </c>
      <c r="E202">
        <v>0.99</v>
      </c>
    </row>
    <row r="203" spans="1:18" x14ac:dyDescent="0.3">
      <c r="A203" s="206">
        <v>4</v>
      </c>
      <c r="B203" s="206">
        <v>36</v>
      </c>
      <c r="C203" s="50">
        <f>A203/$B$202</f>
        <v>0.1</v>
      </c>
      <c r="D203">
        <v>0.56000000000000005</v>
      </c>
      <c r="E203">
        <v>0.44</v>
      </c>
    </row>
    <row r="204" spans="1:18" x14ac:dyDescent="0.3">
      <c r="A204" s="206">
        <v>6</v>
      </c>
      <c r="B204" s="206">
        <v>34</v>
      </c>
      <c r="C204" s="50">
        <f t="shared" ref="C204:C209" si="9">A204/$B$202</f>
        <v>0.15</v>
      </c>
      <c r="D204" s="9">
        <v>0.7</v>
      </c>
      <c r="E204" s="9">
        <v>0.3</v>
      </c>
    </row>
    <row r="205" spans="1:18" x14ac:dyDescent="0.3">
      <c r="A205" s="206">
        <v>10</v>
      </c>
      <c r="B205" s="206">
        <v>30</v>
      </c>
      <c r="C205" s="50">
        <f t="shared" si="9"/>
        <v>0.25</v>
      </c>
      <c r="D205">
        <v>0.85</v>
      </c>
      <c r="E205">
        <v>0.15</v>
      </c>
    </row>
    <row r="206" spans="1:18" x14ac:dyDescent="0.3">
      <c r="A206" s="206">
        <v>14</v>
      </c>
      <c r="B206" s="206">
        <v>26</v>
      </c>
      <c r="C206" s="50">
        <f t="shared" si="9"/>
        <v>0.35</v>
      </c>
      <c r="D206">
        <v>0.87</v>
      </c>
      <c r="E206">
        <v>0.13</v>
      </c>
    </row>
    <row r="207" spans="1:18" x14ac:dyDescent="0.3">
      <c r="A207" s="206">
        <v>20</v>
      </c>
      <c r="B207" s="206">
        <v>20</v>
      </c>
      <c r="C207" s="50">
        <f t="shared" si="9"/>
        <v>0.5</v>
      </c>
      <c r="D207">
        <v>0.91</v>
      </c>
      <c r="E207">
        <v>0.09</v>
      </c>
    </row>
    <row r="208" spans="1:18" x14ac:dyDescent="0.3">
      <c r="A208" s="206">
        <v>26</v>
      </c>
      <c r="B208" s="206">
        <v>14</v>
      </c>
      <c r="C208" s="50">
        <f t="shared" si="9"/>
        <v>0.65</v>
      </c>
      <c r="D208">
        <v>0.93</v>
      </c>
      <c r="E208">
        <v>7.0000000000000007E-2</v>
      </c>
    </row>
    <row r="209" spans="1:5" x14ac:dyDescent="0.3">
      <c r="A209" s="206">
        <v>40</v>
      </c>
      <c r="B209" s="206">
        <v>0</v>
      </c>
      <c r="C209" s="50">
        <f t="shared" si="9"/>
        <v>1</v>
      </c>
      <c r="D209">
        <v>0.96</v>
      </c>
      <c r="E209">
        <v>0.04</v>
      </c>
    </row>
    <row r="211" spans="1:5" x14ac:dyDescent="0.3">
      <c r="A211" s="51"/>
      <c r="B211" s="206"/>
      <c r="C211" s="206"/>
      <c r="D211" s="206"/>
      <c r="E211" s="206"/>
    </row>
    <row r="212" spans="1:5" ht="16.2" x14ac:dyDescent="0.3">
      <c r="A212" s="160" t="s">
        <v>318</v>
      </c>
    </row>
    <row r="213" spans="1:5" x14ac:dyDescent="0.3">
      <c r="A213" s="1"/>
    </row>
    <row r="214" spans="1:5" x14ac:dyDescent="0.3">
      <c r="A214" s="1" t="s">
        <v>167</v>
      </c>
      <c r="B214" s="206"/>
      <c r="C214" s="206"/>
      <c r="D214" s="206"/>
      <c r="E214" s="206"/>
    </row>
    <row r="215" spans="1:5" x14ac:dyDescent="0.3">
      <c r="B215" s="206"/>
      <c r="C215" s="206"/>
      <c r="D215" s="206"/>
      <c r="E215" s="206"/>
    </row>
    <row r="216" spans="1:5" x14ac:dyDescent="0.3">
      <c r="A216" s="1" t="s">
        <v>357</v>
      </c>
      <c r="B216" s="206"/>
      <c r="C216" s="206"/>
      <c r="D216" s="206"/>
      <c r="E216" s="206"/>
    </row>
    <row r="217" spans="1:5" x14ac:dyDescent="0.3">
      <c r="B217" s="206"/>
      <c r="C217" s="206"/>
      <c r="D217" s="206"/>
      <c r="E217" s="206"/>
    </row>
    <row r="218" spans="1:5" x14ac:dyDescent="0.3">
      <c r="A218" t="s">
        <v>225</v>
      </c>
      <c r="B218" s="206"/>
      <c r="C218" s="206"/>
      <c r="D218" s="206"/>
      <c r="E218" s="206"/>
    </row>
    <row r="219" spans="1:5" x14ac:dyDescent="0.3">
      <c r="A219" t="s">
        <v>229</v>
      </c>
      <c r="B219" s="206"/>
      <c r="C219" s="206"/>
      <c r="D219" s="206"/>
      <c r="E219" s="206"/>
    </row>
    <row r="220" spans="1:5" x14ac:dyDescent="0.3">
      <c r="B220" s="206"/>
      <c r="C220" s="206"/>
      <c r="D220" s="206"/>
      <c r="E220" s="206"/>
    </row>
    <row r="221" spans="1:5" ht="16.2" x14ac:dyDescent="0.3">
      <c r="A221" s="1" t="s">
        <v>230</v>
      </c>
      <c r="B221" s="1" t="s">
        <v>231</v>
      </c>
      <c r="C221" s="1" t="s">
        <v>232</v>
      </c>
    </row>
    <row r="222" spans="1:5" x14ac:dyDescent="0.3">
      <c r="A222" s="16" t="s">
        <v>168</v>
      </c>
      <c r="B222" s="16" t="s">
        <v>178</v>
      </c>
      <c r="C222" s="16" t="s">
        <v>170</v>
      </c>
    </row>
    <row r="223" spans="1:5" x14ac:dyDescent="0.3">
      <c r="A223" s="9">
        <v>135.114</v>
      </c>
      <c r="B223">
        <v>9665</v>
      </c>
      <c r="C223" s="29"/>
      <c r="D223" s="29"/>
    </row>
    <row r="224" spans="1:5" x14ac:dyDescent="0.3">
      <c r="A224" s="9">
        <v>139.11879999999999</v>
      </c>
      <c r="B224">
        <v>100</v>
      </c>
      <c r="C224" s="29">
        <f>(B224*0.343550377443745)/(B223+(B224*0.343550377443745))</f>
        <v>3.5419919789186215E-3</v>
      </c>
      <c r="D224" s="29"/>
    </row>
    <row r="225" spans="1:5" x14ac:dyDescent="0.3">
      <c r="A225" s="9">
        <v>166.1206</v>
      </c>
      <c r="B225">
        <v>9193</v>
      </c>
      <c r="C225" s="29"/>
      <c r="D225" s="29"/>
    </row>
    <row r="226" spans="1:5" x14ac:dyDescent="0.3">
      <c r="A226" s="9">
        <v>170.11940000000001</v>
      </c>
      <c r="B226">
        <v>100</v>
      </c>
      <c r="C226" s="29">
        <f>(B226*1.77723970331311)/(B225+(B226*1.77723970331311))</f>
        <v>1.896587402360838E-2</v>
      </c>
      <c r="D226" s="29"/>
    </row>
    <row r="227" spans="1:5" x14ac:dyDescent="0.3">
      <c r="A227" s="9">
        <v>191.17689999999999</v>
      </c>
      <c r="B227">
        <v>29335</v>
      </c>
      <c r="C227" s="29"/>
      <c r="D227" s="29"/>
    </row>
    <row r="228" spans="1:5" x14ac:dyDescent="0.3">
      <c r="A228" s="9">
        <v>195.17939999999999</v>
      </c>
      <c r="B228">
        <v>100</v>
      </c>
      <c r="C228" s="29">
        <f>(B228*2.29667102757349)/(B227+(B228*2.29667102757349))</f>
        <v>7.7682965940086331E-3</v>
      </c>
      <c r="D228" s="29"/>
    </row>
    <row r="229" spans="1:5" x14ac:dyDescent="0.3">
      <c r="A229" s="9">
        <v>205.1909</v>
      </c>
      <c r="B229">
        <v>1811</v>
      </c>
      <c r="C229" s="29"/>
      <c r="D229" s="29"/>
    </row>
    <row r="230" spans="1:5" x14ac:dyDescent="0.3">
      <c r="A230" s="9">
        <v>209.1883</v>
      </c>
      <c r="B230">
        <v>100</v>
      </c>
      <c r="C230" s="29">
        <f>(B230*0.986523524207095)/(B229+(B230*0.986523524207095))</f>
        <v>5.1659849132045431E-2</v>
      </c>
      <c r="D230" s="29"/>
    </row>
    <row r="231" spans="1:5" x14ac:dyDescent="0.3">
      <c r="C231" s="29"/>
      <c r="D231" s="29"/>
    </row>
    <row r="232" spans="1:5" ht="15" thickBot="1" x14ac:dyDescent="0.35">
      <c r="B232" t="s">
        <v>171</v>
      </c>
      <c r="C232" t="s">
        <v>172</v>
      </c>
      <c r="D232" t="s">
        <v>173</v>
      </c>
      <c r="E232" t="s">
        <v>174</v>
      </c>
    </row>
    <row r="233" spans="1:5" ht="15" thickBot="1" x14ac:dyDescent="0.35">
      <c r="A233" t="s">
        <v>175</v>
      </c>
      <c r="B233">
        <v>295418</v>
      </c>
      <c r="C233" s="47">
        <f>(((B224*0.343550377443745)/(B223+(B224*0.343550377443745)))*733.092587+((B226*1.77723970331311)/(B225+(B226*1.77723970331311)))*595.4498616+((B228*2.29667102757349)/(B227+(B228*2.29667102757349)))*4175.842325+((B230*0.986523524207095)/(B229+(B230*0.986523524207095)))*485.2112546)/5989.596028</f>
        <v>1.191982843448961E-2</v>
      </c>
      <c r="D233" s="48">
        <f>1-C233</f>
        <v>0.98808017156551042</v>
      </c>
      <c r="E233" s="31">
        <f>SQRT((SUM(733.092587*(C224-C233)^2,595.4498616*(C226-C233)^2,4175.842325*(C228-C233)^2,485.2112546*(C230-C233)^2))/(5989.59602785596))</f>
        <v>1.2388597553981764E-2</v>
      </c>
    </row>
    <row r="236" spans="1:5" ht="16.2" x14ac:dyDescent="0.3">
      <c r="A236" s="1" t="s">
        <v>233</v>
      </c>
      <c r="B236" s="1" t="s">
        <v>234</v>
      </c>
      <c r="C236" s="1" t="s">
        <v>235</v>
      </c>
    </row>
    <row r="237" spans="1:5" x14ac:dyDescent="0.3">
      <c r="A237" s="16" t="s">
        <v>168</v>
      </c>
      <c r="B237" s="16" t="s">
        <v>178</v>
      </c>
      <c r="C237" s="16" t="s">
        <v>170</v>
      </c>
    </row>
    <row r="238" spans="1:5" x14ac:dyDescent="0.3">
      <c r="A238" s="9">
        <v>135.114</v>
      </c>
      <c r="B238">
        <v>1300</v>
      </c>
    </row>
    <row r="239" spans="1:5" x14ac:dyDescent="0.3">
      <c r="A239" s="9">
        <v>139.11879999999999</v>
      </c>
      <c r="B239">
        <v>4602</v>
      </c>
      <c r="C239" s="29">
        <f>(B239*0.343550377443745)/(B238+(B239*0.343550377443745))</f>
        <v>0.54877073925853226</v>
      </c>
    </row>
    <row r="240" spans="1:5" x14ac:dyDescent="0.3">
      <c r="A240" s="9">
        <v>166.1206</v>
      </c>
      <c r="B240">
        <v>1178</v>
      </c>
      <c r="C240" s="29"/>
    </row>
    <row r="241" spans="1:5" x14ac:dyDescent="0.3">
      <c r="A241" s="9">
        <v>170.11940000000001</v>
      </c>
      <c r="B241">
        <v>885</v>
      </c>
      <c r="C241" s="29">
        <f>(B241*1.77723970331311)/(B240+(B241*1.77723970331311))</f>
        <v>0.57176983712805551</v>
      </c>
    </row>
    <row r="242" spans="1:5" x14ac:dyDescent="0.3">
      <c r="A242" s="9">
        <v>191.17689999999999</v>
      </c>
      <c r="B242">
        <v>3308</v>
      </c>
      <c r="C242" s="29"/>
    </row>
    <row r="243" spans="1:5" x14ac:dyDescent="0.3">
      <c r="A243" s="9">
        <v>195.17939999999999</v>
      </c>
      <c r="B243">
        <v>1804</v>
      </c>
      <c r="C243" s="29">
        <f>(B243*2.29667102757349)/(B242+(B243*2.29667102757349))</f>
        <v>0.55604433825747102</v>
      </c>
    </row>
    <row r="244" spans="1:5" x14ac:dyDescent="0.3">
      <c r="A244" s="9">
        <v>205.1909</v>
      </c>
      <c r="C244" s="29"/>
    </row>
    <row r="245" spans="1:5" x14ac:dyDescent="0.3">
      <c r="A245" s="9">
        <v>209.1883</v>
      </c>
      <c r="C245" s="29"/>
    </row>
    <row r="247" spans="1:5" ht="15" thickBot="1" x14ac:dyDescent="0.35">
      <c r="B247" t="s">
        <v>171</v>
      </c>
      <c r="C247" t="s">
        <v>172</v>
      </c>
      <c r="D247" t="s">
        <v>173</v>
      </c>
      <c r="E247" t="s">
        <v>174</v>
      </c>
    </row>
    <row r="248" spans="1:5" ht="15" thickBot="1" x14ac:dyDescent="0.35">
      <c r="A248" t="s">
        <v>175</v>
      </c>
      <c r="B248">
        <v>407324</v>
      </c>
      <c r="C248" s="52">
        <f>(((B239*0.343550377443745)/(B238+(B239*0.343550377443745)))*733.092587+((B241*1.77723970331311)/(B240+(B241*1.77723970331311)))*595.4498616+((B243*2.29667102757349)/(B242+(B243*2.29667102757349)))*4175.842325)/5504.3847736</f>
        <v>0.55677675882488553</v>
      </c>
      <c r="D248" s="53">
        <f>1-C248</f>
        <v>0.44322324117511447</v>
      </c>
      <c r="E248" s="31">
        <f>SQRT((SUM(733.092587*(C239-C248)^2,595.4498616*(C241-C248)^2,4175.842325*(C243-C248)^2)/(5989.59602785596)))</f>
        <v>5.5287018076115293E-3</v>
      </c>
    </row>
    <row r="251" spans="1:5" ht="16.2" x14ac:dyDescent="0.3">
      <c r="A251" s="1" t="s">
        <v>236</v>
      </c>
      <c r="B251" s="1" t="s">
        <v>237</v>
      </c>
      <c r="C251" s="1" t="s">
        <v>238</v>
      </c>
    </row>
    <row r="252" spans="1:5" x14ac:dyDescent="0.3">
      <c r="A252" s="16" t="s">
        <v>168</v>
      </c>
      <c r="B252" s="16" t="s">
        <v>178</v>
      </c>
      <c r="C252" s="16" t="s">
        <v>170</v>
      </c>
    </row>
    <row r="253" spans="1:5" x14ac:dyDescent="0.3">
      <c r="A253" s="9">
        <v>135.114</v>
      </c>
      <c r="B253">
        <v>6387</v>
      </c>
      <c r="C253" s="29"/>
    </row>
    <row r="254" spans="1:5" x14ac:dyDescent="0.3">
      <c r="A254" s="9">
        <v>139.11879999999999</v>
      </c>
      <c r="B254">
        <v>32121</v>
      </c>
      <c r="C254" s="29">
        <f>(B254*0.343550377443745)/(B253+(B254*0.343550377443745))</f>
        <v>0.63339838146797056</v>
      </c>
    </row>
    <row r="255" spans="1:5" x14ac:dyDescent="0.3">
      <c r="A255" s="9">
        <v>166.1206</v>
      </c>
      <c r="B255">
        <v>4265</v>
      </c>
      <c r="C255" s="29"/>
    </row>
    <row r="256" spans="1:5" x14ac:dyDescent="0.3">
      <c r="A256" s="9">
        <v>170.11940000000001</v>
      </c>
      <c r="B256">
        <v>5348</v>
      </c>
      <c r="C256" s="29">
        <f>(B256*1.77723970331311)/(B255+(B256*1.77723970331311))</f>
        <v>0.690261455594399</v>
      </c>
    </row>
    <row r="257" spans="1:5" x14ac:dyDescent="0.3">
      <c r="A257" s="9">
        <v>191.17689999999999</v>
      </c>
      <c r="B257">
        <v>13872</v>
      </c>
      <c r="C257" s="29"/>
    </row>
    <row r="258" spans="1:5" x14ac:dyDescent="0.3">
      <c r="A258" s="9">
        <v>195.17939999999999</v>
      </c>
      <c r="B258">
        <v>15626</v>
      </c>
      <c r="C258" s="29">
        <f>(B258*2.29667102757349)/(B257+(B258*2.29667102757349))</f>
        <v>0.72122064068046565</v>
      </c>
    </row>
    <row r="259" spans="1:5" x14ac:dyDescent="0.3">
      <c r="A259" s="9">
        <v>205.1909</v>
      </c>
      <c r="B259">
        <v>1014</v>
      </c>
      <c r="C259" s="29"/>
    </row>
    <row r="260" spans="1:5" x14ac:dyDescent="0.3">
      <c r="A260" s="9">
        <v>209.1883</v>
      </c>
      <c r="B260">
        <v>2104</v>
      </c>
      <c r="C260" s="29">
        <f>(B260*0.986523524207095)/(B259+(B260*0.986523524207095))</f>
        <v>0.6718070077413828</v>
      </c>
    </row>
    <row r="262" spans="1:5" ht="15" thickBot="1" x14ac:dyDescent="0.35">
      <c r="B262" t="s">
        <v>171</v>
      </c>
      <c r="C262" t="s">
        <v>172</v>
      </c>
      <c r="D262" t="s">
        <v>173</v>
      </c>
      <c r="E262" t="s">
        <v>174</v>
      </c>
    </row>
    <row r="263" spans="1:5" ht="15" thickBot="1" x14ac:dyDescent="0.35">
      <c r="A263" t="s">
        <v>175</v>
      </c>
      <c r="B263">
        <v>491252</v>
      </c>
      <c r="C263" s="47">
        <f>(((B254*0.343550377443745)/(B253+(B254*0.343550377443745)))*733.092587+((B256*1.77723970331311)/(B255+(B256*1.77723970331311)))*595.4498616+((B258*2.29667102757349)/(B257+(B258*2.29667102757349)))*4175.842325+((B260*0.986523524207095)/(B259+(B260*0.986523524207095)))*485.2112546)/5989.596028</f>
        <v>0.70339096738259022</v>
      </c>
      <c r="D263" s="48">
        <f>1-C263</f>
        <v>0.29660903261740978</v>
      </c>
      <c r="E263" s="31">
        <f>SQRT((SUM(733.092587*(C254-C263)^2,595.4498616*(C256-C263)^2,4175.842325*(C258-C263)^2,485.2112546*(C260-C263)^2))/(5989.59602785596))</f>
        <v>3.031806838787281E-2</v>
      </c>
    </row>
    <row r="266" spans="1:5" ht="16.2" x14ac:dyDescent="0.3">
      <c r="A266" s="1" t="s">
        <v>239</v>
      </c>
      <c r="B266" s="1" t="s">
        <v>240</v>
      </c>
      <c r="C266" s="1" t="s">
        <v>241</v>
      </c>
    </row>
    <row r="267" spans="1:5" x14ac:dyDescent="0.3">
      <c r="A267" s="16" t="s">
        <v>168</v>
      </c>
      <c r="B267" s="16" t="s">
        <v>178</v>
      </c>
      <c r="C267" s="16" t="s">
        <v>170</v>
      </c>
    </row>
    <row r="268" spans="1:5" x14ac:dyDescent="0.3">
      <c r="A268" s="9">
        <v>135.114</v>
      </c>
      <c r="B268">
        <v>5321</v>
      </c>
    </row>
    <row r="269" spans="1:5" x14ac:dyDescent="0.3">
      <c r="A269" s="9">
        <v>139.11879999999999</v>
      </c>
      <c r="B269">
        <v>63108</v>
      </c>
      <c r="C269" s="29">
        <f>(B269*0.343550377443745)/(B268+(B269*0.343550377443745))</f>
        <v>0.8029388970695609</v>
      </c>
      <c r="D269" s="29"/>
    </row>
    <row r="270" spans="1:5" x14ac:dyDescent="0.3">
      <c r="A270" s="9">
        <v>166.1206</v>
      </c>
      <c r="B270">
        <v>3762</v>
      </c>
      <c r="C270" s="29"/>
      <c r="D270" s="29"/>
    </row>
    <row r="271" spans="1:5" x14ac:dyDescent="0.3">
      <c r="A271" s="9">
        <v>170.11940000000001</v>
      </c>
      <c r="B271">
        <v>10546</v>
      </c>
      <c r="C271" s="29">
        <f>(B271*1.77723970331311)/(B270+(B271*1.77723970331311))</f>
        <v>0.83283543822690775</v>
      </c>
      <c r="D271" s="29"/>
    </row>
    <row r="272" spans="1:5" x14ac:dyDescent="0.3">
      <c r="A272" s="9">
        <v>191.17689999999999</v>
      </c>
      <c r="B272">
        <v>12936</v>
      </c>
      <c r="C272" s="29"/>
      <c r="D272" s="29"/>
    </row>
    <row r="273" spans="1:5" x14ac:dyDescent="0.3">
      <c r="A273" s="9">
        <v>195.17939999999999</v>
      </c>
      <c r="B273">
        <v>33214</v>
      </c>
      <c r="C273" s="29">
        <f>(B273*2.29667102757349)/(B272+(B273*2.29667102757349))</f>
        <v>0.85500623832885203</v>
      </c>
      <c r="D273" s="29"/>
    </row>
    <row r="274" spans="1:5" x14ac:dyDescent="0.3">
      <c r="A274" s="9">
        <v>205.1909</v>
      </c>
      <c r="B274">
        <v>521</v>
      </c>
      <c r="C274" s="29"/>
      <c r="D274" s="29"/>
    </row>
    <row r="275" spans="1:5" x14ac:dyDescent="0.3">
      <c r="A275" s="9">
        <v>209.1883</v>
      </c>
      <c r="B275">
        <v>3127</v>
      </c>
      <c r="C275" s="29">
        <f>(B275*0.986523524207095)/(B274+(B275*0.986523524207095))</f>
        <v>0.85551293289545816</v>
      </c>
      <c r="D275" s="29"/>
    </row>
    <row r="277" spans="1:5" ht="15" thickBot="1" x14ac:dyDescent="0.35">
      <c r="B277" t="s">
        <v>171</v>
      </c>
      <c r="C277" t="s">
        <v>172</v>
      </c>
      <c r="D277" t="s">
        <v>173</v>
      </c>
      <c r="E277" t="s">
        <v>174</v>
      </c>
    </row>
    <row r="278" spans="1:5" ht="15" thickBot="1" x14ac:dyDescent="0.35">
      <c r="A278" t="s">
        <v>175</v>
      </c>
      <c r="B278">
        <v>886476</v>
      </c>
      <c r="C278" s="47">
        <f>(((B269*0.343550377443745)/(B268+(B269*0.343550377443745)))*733.092587+((B271*1.77723970331311)/(B270+(B271*1.77723970331311)))*595.4498616+((B273*2.29667102757349)/(B272+(B273*2.29667102757349)))*4175.842325+((B275*0.986523524207095)/(B274+(B275*0.986523524207095)))*485.2112546)/5989.596028</f>
        <v>0.84647044936447369</v>
      </c>
      <c r="D278" s="48">
        <f>1-C278</f>
        <v>0.15352955063552631</v>
      </c>
      <c r="E278" s="31">
        <f>SQRT((SUM(733.092587*(C269-C278)^2,595.4498616*(C271-C278)^2,4175.842325*(C273-C278)^2,485.2112546*(C275-C278)^2))/(5989.59602785596))</f>
        <v>1.7545356046661138E-2</v>
      </c>
    </row>
    <row r="281" spans="1:5" ht="16.2" x14ac:dyDescent="0.3">
      <c r="A281" s="1" t="s">
        <v>242</v>
      </c>
      <c r="B281" s="1" t="s">
        <v>243</v>
      </c>
      <c r="C281" s="1" t="s">
        <v>244</v>
      </c>
    </row>
    <row r="282" spans="1:5" x14ac:dyDescent="0.3">
      <c r="A282" s="16" t="s">
        <v>168</v>
      </c>
      <c r="B282" s="16" t="s">
        <v>178</v>
      </c>
      <c r="C282" s="16" t="s">
        <v>170</v>
      </c>
    </row>
    <row r="283" spans="1:5" x14ac:dyDescent="0.3">
      <c r="A283" s="9">
        <v>135.114</v>
      </c>
      <c r="B283">
        <v>5717</v>
      </c>
      <c r="C283" s="29"/>
      <c r="D283" s="29"/>
    </row>
    <row r="284" spans="1:5" x14ac:dyDescent="0.3">
      <c r="A284" s="9">
        <v>139.11879999999999</v>
      </c>
      <c r="B284">
        <v>85846</v>
      </c>
      <c r="C284" s="29">
        <f>(B284*0.343550377443745)/(B283+(B284*0.343550377443745))</f>
        <v>0.83762870634753195</v>
      </c>
      <c r="D284" s="29"/>
    </row>
    <row r="285" spans="1:5" x14ac:dyDescent="0.3">
      <c r="A285" s="9">
        <v>166.1206</v>
      </c>
      <c r="B285">
        <v>2548</v>
      </c>
      <c r="C285" s="29"/>
      <c r="D285" s="29"/>
    </row>
    <row r="286" spans="1:5" x14ac:dyDescent="0.3">
      <c r="A286" s="9">
        <v>170.11940000000001</v>
      </c>
      <c r="B286">
        <v>16161</v>
      </c>
      <c r="C286" s="29">
        <f>(B286*1.77723970331311)/(B285+(B286*1.77723970331311))</f>
        <v>0.9185160736922271</v>
      </c>
      <c r="D286" s="29"/>
    </row>
    <row r="287" spans="1:5" x14ac:dyDescent="0.3">
      <c r="A287" s="9">
        <v>191.17689999999999</v>
      </c>
      <c r="B287">
        <v>13930</v>
      </c>
      <c r="C287" s="29"/>
      <c r="D287" s="29"/>
    </row>
    <row r="288" spans="1:5" x14ac:dyDescent="0.3">
      <c r="A288" s="9">
        <v>195.17939999999999</v>
      </c>
      <c r="B288">
        <v>42325</v>
      </c>
      <c r="C288" s="29">
        <f>(B288*2.29667102757349)/(B287+(B288*2.29667102757349))</f>
        <v>0.8746587546827943</v>
      </c>
      <c r="D288" s="29"/>
    </row>
    <row r="289" spans="1:5" x14ac:dyDescent="0.3">
      <c r="A289" s="9">
        <v>205.1909</v>
      </c>
      <c r="B289">
        <v>703</v>
      </c>
      <c r="C289" s="29"/>
      <c r="D289" s="29"/>
    </row>
    <row r="290" spans="1:5" x14ac:dyDescent="0.3">
      <c r="A290" s="9">
        <v>209.1883</v>
      </c>
      <c r="B290">
        <v>4416</v>
      </c>
      <c r="C290" s="29">
        <f>(B290*0.986523524207095)/(B289+(B290*0.986523524207095))</f>
        <v>0.86105313101426817</v>
      </c>
      <c r="D290" s="29"/>
    </row>
    <row r="291" spans="1:5" x14ac:dyDescent="0.3">
      <c r="C291" s="29"/>
      <c r="D291" s="29"/>
    </row>
    <row r="292" spans="1:5" ht="15" thickBot="1" x14ac:dyDescent="0.35">
      <c r="B292" t="s">
        <v>171</v>
      </c>
      <c r="C292" t="s">
        <v>172</v>
      </c>
      <c r="D292" t="s">
        <v>173</v>
      </c>
      <c r="E292" t="s">
        <v>174</v>
      </c>
    </row>
    <row r="293" spans="1:5" ht="15" thickBot="1" x14ac:dyDescent="0.35">
      <c r="A293" t="s">
        <v>175</v>
      </c>
      <c r="B293">
        <v>1175727</v>
      </c>
      <c r="C293" s="47">
        <f>(((B284*0.343550377443745)/(B283+(B284*0.343550377443745)))*733.092587+((B286*1.77723970331311)/(B285+(B286*1.77723970331311)))*595.4498616+((B288*2.29667102757349)/(B287+(B288*2.29667102757349)))*4175.842325+((B290*0.986523524207095)/(B289+(B290*0.986523524207095)))*485.2112546)/5989.596028</f>
        <v>0.87338434136414556</v>
      </c>
      <c r="D293" s="48">
        <f>1-C293</f>
        <v>0.12661565863585444</v>
      </c>
      <c r="E293" s="31">
        <f>SQRT((SUM(733.092587*(C284-C293)^2,595.4498616*(C286-C293)^2,4175.842325*(C288-C293)^2,485.2112546*(C290-C293)^2))/(5989.59602785596))</f>
        <v>1.9298215890012866E-2</v>
      </c>
    </row>
    <row r="296" spans="1:5" ht="16.2" x14ac:dyDescent="0.3">
      <c r="A296" s="1" t="s">
        <v>245</v>
      </c>
      <c r="B296" s="1" t="s">
        <v>246</v>
      </c>
      <c r="C296" s="1" t="s">
        <v>247</v>
      </c>
    </row>
    <row r="297" spans="1:5" x14ac:dyDescent="0.3">
      <c r="A297" s="16" t="s">
        <v>168</v>
      </c>
      <c r="B297" s="16" t="s">
        <v>178</v>
      </c>
      <c r="C297" s="16" t="s">
        <v>170</v>
      </c>
    </row>
    <row r="298" spans="1:5" x14ac:dyDescent="0.3">
      <c r="A298" s="9">
        <v>135.114</v>
      </c>
      <c r="B298">
        <v>7812</v>
      </c>
    </row>
    <row r="299" spans="1:5" x14ac:dyDescent="0.3">
      <c r="A299" s="9">
        <v>139.11879999999999</v>
      </c>
      <c r="B299">
        <v>124101</v>
      </c>
      <c r="C299" s="29">
        <f>(B299*0.343550377443745)/(B298+(B299*0.343550377443745))</f>
        <v>0.84514424135239985</v>
      </c>
    </row>
    <row r="300" spans="1:5" x14ac:dyDescent="0.3">
      <c r="A300" s="9">
        <v>166.1206</v>
      </c>
      <c r="B300">
        <v>2630</v>
      </c>
      <c r="C300" s="29"/>
    </row>
    <row r="301" spans="1:5" x14ac:dyDescent="0.3">
      <c r="A301" s="9">
        <v>170.11940000000001</v>
      </c>
      <c r="B301">
        <v>16332</v>
      </c>
      <c r="C301" s="29">
        <f>(B301*1.77723970331311)/(B300+(B301*1.77723970331311))</f>
        <v>0.91691906537332013</v>
      </c>
    </row>
    <row r="302" spans="1:5" x14ac:dyDescent="0.3">
      <c r="A302" s="9">
        <v>191.17689999999999</v>
      </c>
      <c r="B302">
        <v>10970</v>
      </c>
      <c r="C302" s="29"/>
    </row>
    <row r="303" spans="1:5" x14ac:dyDescent="0.3">
      <c r="A303" s="9">
        <v>195.17939999999999</v>
      </c>
      <c r="B303">
        <v>57912</v>
      </c>
      <c r="C303" s="29">
        <f>(B303*2.29667102757349)/(B302+(B303*2.29667102757349))</f>
        <v>0.92380611715483918</v>
      </c>
    </row>
    <row r="304" spans="1:5" x14ac:dyDescent="0.3">
      <c r="A304" s="9">
        <v>205.1909</v>
      </c>
      <c r="B304">
        <v>540</v>
      </c>
      <c r="C304" s="29"/>
    </row>
    <row r="305" spans="1:5" x14ac:dyDescent="0.3">
      <c r="A305" s="9">
        <v>209.1883</v>
      </c>
      <c r="B305">
        <v>7426</v>
      </c>
      <c r="C305" s="29">
        <f>(B305*0.986523524207095)/(B304+(B305*0.986523524207095))</f>
        <v>0.93134944842724554</v>
      </c>
    </row>
    <row r="307" spans="1:5" ht="15" thickBot="1" x14ac:dyDescent="0.35">
      <c r="B307" t="s">
        <v>171</v>
      </c>
      <c r="C307" t="s">
        <v>172</v>
      </c>
      <c r="D307" t="s">
        <v>173</v>
      </c>
      <c r="E307" t="s">
        <v>174</v>
      </c>
    </row>
    <row r="308" spans="1:5" ht="15" thickBot="1" x14ac:dyDescent="0.35">
      <c r="A308" t="s">
        <v>175</v>
      </c>
      <c r="B308">
        <v>1590299</v>
      </c>
      <c r="C308" s="47">
        <f>(((B299*0.343550377443745)/(B298+(B299*0.343550377443745)))*733.092587+((B301*1.77723970331311)/(B300+(B301*1.77723970331311)))*595.4498616+((B303*2.29667102757349)/(B302+(B303*2.29667102757349)))*4175.842325+((B305*0.986523524207095)/(B304+(B305*0.986523524207095)))*485.2112546)/5989.596028</f>
        <v>0.91410475793570756</v>
      </c>
      <c r="D308" s="48">
        <f>1-C308</f>
        <v>8.5895242064292443E-2</v>
      </c>
      <c r="E308" s="31">
        <f>SQRT((SUM(733.092587*(C299-C308)^2,595.4498616*(C301-C308)^2,4175.842325*(C303-C308)^2,485.2112546*(C305-C308)^2))/(5989.59602785596))</f>
        <v>2.5933507240440617E-2</v>
      </c>
    </row>
    <row r="311" spans="1:5" ht="16.2" x14ac:dyDescent="0.3">
      <c r="A311" s="1" t="s">
        <v>248</v>
      </c>
      <c r="B311" s="1" t="s">
        <v>249</v>
      </c>
      <c r="C311" s="1" t="s">
        <v>250</v>
      </c>
    </row>
    <row r="312" spans="1:5" x14ac:dyDescent="0.3">
      <c r="A312" s="16" t="s">
        <v>168</v>
      </c>
      <c r="B312" s="16" t="s">
        <v>178</v>
      </c>
      <c r="C312" s="16" t="s">
        <v>170</v>
      </c>
    </row>
    <row r="313" spans="1:5" x14ac:dyDescent="0.3">
      <c r="A313" s="9">
        <v>135.114</v>
      </c>
      <c r="B313">
        <v>4988</v>
      </c>
      <c r="C313" s="29"/>
    </row>
    <row r="314" spans="1:5" x14ac:dyDescent="0.3">
      <c r="A314" s="9">
        <v>139.11879999999999</v>
      </c>
      <c r="B314">
        <v>140259</v>
      </c>
      <c r="C314" s="29">
        <f>(B314*0.343550377443745)/(B313+(B314*0.343550377443745))</f>
        <v>0.90619481397560697</v>
      </c>
    </row>
    <row r="315" spans="1:5" x14ac:dyDescent="0.3">
      <c r="A315" s="9">
        <v>166.1206</v>
      </c>
      <c r="B315">
        <v>2817</v>
      </c>
      <c r="C315" s="29"/>
    </row>
    <row r="316" spans="1:5" x14ac:dyDescent="0.3">
      <c r="A316" s="9">
        <v>170.11940000000001</v>
      </c>
      <c r="B316">
        <v>21113</v>
      </c>
      <c r="C316" s="29">
        <f>(B316*1.77723970331311)/(B315+(B316*1.77723970331311))</f>
        <v>0.9301683280410753</v>
      </c>
    </row>
    <row r="317" spans="1:5" x14ac:dyDescent="0.3">
      <c r="A317" s="9">
        <v>191.17689999999999</v>
      </c>
      <c r="B317">
        <v>5767</v>
      </c>
      <c r="C317" s="29"/>
    </row>
    <row r="318" spans="1:5" x14ac:dyDescent="0.3">
      <c r="A318" s="9">
        <v>195.17939999999999</v>
      </c>
      <c r="B318">
        <v>41076</v>
      </c>
      <c r="C318" s="29">
        <f>(B318*2.29667102757349)/(B317+(B318*2.29667102757349))</f>
        <v>0.94239052401346746</v>
      </c>
    </row>
    <row r="319" spans="1:5" x14ac:dyDescent="0.3">
      <c r="A319" s="9">
        <v>205.1909</v>
      </c>
      <c r="B319">
        <v>683</v>
      </c>
      <c r="C319" s="29"/>
    </row>
    <row r="320" spans="1:5" x14ac:dyDescent="0.3">
      <c r="A320" s="9">
        <v>209.1883</v>
      </c>
      <c r="B320">
        <v>3732</v>
      </c>
      <c r="C320" s="29">
        <f>(B320*0.986523524207095)/(B319+(B320*0.986523524207095))</f>
        <v>0.84351751698854061</v>
      </c>
    </row>
    <row r="322" spans="1:5" ht="15" thickBot="1" x14ac:dyDescent="0.35">
      <c r="B322" t="s">
        <v>171</v>
      </c>
      <c r="C322" t="s">
        <v>172</v>
      </c>
      <c r="D322" t="s">
        <v>173</v>
      </c>
      <c r="E322" t="s">
        <v>174</v>
      </c>
    </row>
    <row r="323" spans="1:5" ht="15" thickBot="1" x14ac:dyDescent="0.35">
      <c r="A323" t="s">
        <v>175</v>
      </c>
      <c r="B323">
        <v>1578283</v>
      </c>
      <c r="C323" s="47">
        <f>(((B314*0.343550377443745)/(B313+(B314*0.343550377443745)))*733.092587+((B316*1.77723970331311)/(B315+(B316*1.77723970331311)))*595.4498616+((B318*2.29667102757349)/(B317+(B318*2.29667102757349)))*4175.842325+((B320*0.986523524207095)/(B319+(B320*0.986523524207095)))*485.2112546)/5989.596028</f>
        <v>0.92873571209894223</v>
      </c>
      <c r="D323" s="48">
        <f>1-C323</f>
        <v>7.1264287901057766E-2</v>
      </c>
      <c r="E323" s="31">
        <f>SQRT((SUM(733.092587*(C314-C323)^2,595.4498616*(C316-C323)^2,4175.842325*(C318-C323)^2,485.2112546*(C320-C323)^2))/(5989.59602785596))</f>
        <v>2.7940703038263723E-2</v>
      </c>
    </row>
    <row r="326" spans="1:5" ht="16.2" x14ac:dyDescent="0.3">
      <c r="A326" s="1" t="s">
        <v>251</v>
      </c>
      <c r="B326" s="1" t="s">
        <v>252</v>
      </c>
      <c r="C326" s="1" t="s">
        <v>253</v>
      </c>
    </row>
    <row r="327" spans="1:5" x14ac:dyDescent="0.3">
      <c r="A327" s="16" t="s">
        <v>168</v>
      </c>
      <c r="B327" s="16" t="s">
        <v>178</v>
      </c>
      <c r="C327" s="16" t="s">
        <v>170</v>
      </c>
    </row>
    <row r="328" spans="1:5" x14ac:dyDescent="0.3">
      <c r="A328" s="9">
        <v>135.114</v>
      </c>
      <c r="B328">
        <v>5550</v>
      </c>
      <c r="C328" s="29"/>
    </row>
    <row r="329" spans="1:5" x14ac:dyDescent="0.3">
      <c r="A329" s="9">
        <v>139.11879999999999</v>
      </c>
      <c r="B329">
        <v>229749</v>
      </c>
      <c r="C329" s="29">
        <f>(B329*0.343550377443745)/(B328+(B329*0.343550377443745))</f>
        <v>0.93430425385689109</v>
      </c>
    </row>
    <row r="330" spans="1:5" x14ac:dyDescent="0.3">
      <c r="A330" s="9">
        <v>166.1206</v>
      </c>
      <c r="B330">
        <v>2812</v>
      </c>
      <c r="C330" s="29"/>
    </row>
    <row r="331" spans="1:5" x14ac:dyDescent="0.3">
      <c r="A331" s="9">
        <v>170.11940000000001</v>
      </c>
      <c r="B331">
        <v>27124</v>
      </c>
      <c r="C331" s="29">
        <f>(B331*1.77723970331311)/(B330+(B331*1.77723970331311))</f>
        <v>0.94488203607487709</v>
      </c>
    </row>
    <row r="332" spans="1:5" x14ac:dyDescent="0.3">
      <c r="A332" s="9">
        <v>191.17689999999999</v>
      </c>
      <c r="B332">
        <v>4303</v>
      </c>
      <c r="C332" s="29"/>
    </row>
    <row r="333" spans="1:5" x14ac:dyDescent="0.3">
      <c r="A333" s="9">
        <v>195.17939999999999</v>
      </c>
      <c r="B333">
        <v>66148</v>
      </c>
      <c r="C333" s="29">
        <f>(B333*2.29667102757349)/(B332+(B333*2.29667102757349))</f>
        <v>0.97245607480780238</v>
      </c>
    </row>
    <row r="334" spans="1:5" x14ac:dyDescent="0.3">
      <c r="A334" s="9">
        <v>205.1909</v>
      </c>
      <c r="B334">
        <v>1119</v>
      </c>
      <c r="C334" s="29"/>
    </row>
    <row r="335" spans="1:5" x14ac:dyDescent="0.3">
      <c r="A335" s="9">
        <v>209.1883</v>
      </c>
      <c r="B335">
        <v>7911</v>
      </c>
      <c r="C335" s="29">
        <f>(B335*0.986523524207095)/(B334+(B335*0.986523524207095))</f>
        <v>0.87459919369638184</v>
      </c>
    </row>
    <row r="337" spans="1:5" ht="15" thickBot="1" x14ac:dyDescent="0.35">
      <c r="B337" t="s">
        <v>171</v>
      </c>
      <c r="C337" t="s">
        <v>172</v>
      </c>
      <c r="D337" t="s">
        <v>173</v>
      </c>
      <c r="E337" t="s">
        <v>174</v>
      </c>
    </row>
    <row r="338" spans="1:5" ht="15" thickBot="1" x14ac:dyDescent="0.35">
      <c r="A338" t="s">
        <v>175</v>
      </c>
      <c r="B338" s="56">
        <v>2398854</v>
      </c>
      <c r="C338" s="47">
        <f>(((B329*0.343550377443745)/(B328+(B329*0.343550377443745)))*733.092587+((B331*1.77723970331311)/(B330+(B331*1.77723970331311)))*595.4498616+((B333*2.29667102757349)/(B332+(B333*2.29667102757349)))*4175.842325+((B335*0.986523524207095)/(B334+(B335*0.986523524207095)))*485.2112546)/5989.596028</f>
        <v>0.95711797285596856</v>
      </c>
      <c r="D338" s="48">
        <f>1-C338</f>
        <v>4.2882027144031443E-2</v>
      </c>
      <c r="E338" s="31">
        <f>SQRT((SUM(733.092587*(C329-C338)^2,595.4498616*(C331-C338)^2,4175.842325*(C333-C338)^2,485.2112546*(C335-C338)^2))/(5989.59602785596))</f>
        <v>2.8181946749919414E-2</v>
      </c>
    </row>
  </sheetData>
  <mergeCells count="2">
    <mergeCell ref="A200:C200"/>
    <mergeCell ref="D200:E200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3"/>
  <sheetViews>
    <sheetView topLeftCell="O1" zoomScale="75" zoomScaleNormal="75" workbookViewId="0">
      <selection activeCell="U12" sqref="U12"/>
    </sheetView>
  </sheetViews>
  <sheetFormatPr defaultRowHeight="14.4" x14ac:dyDescent="0.3"/>
  <cols>
    <col min="2" max="2" width="11.44140625" customWidth="1"/>
    <col min="4" max="4" width="12.44140625" bestFit="1" customWidth="1"/>
  </cols>
  <sheetData>
    <row r="2" spans="2:6" x14ac:dyDescent="0.3">
      <c r="B2" s="1" t="s">
        <v>399</v>
      </c>
      <c r="C2" s="49"/>
      <c r="D2" s="49"/>
    </row>
    <row r="3" spans="2:6" x14ac:dyDescent="0.3">
      <c r="B3" s="1" t="s">
        <v>358</v>
      </c>
      <c r="C3" s="49"/>
      <c r="D3" s="49"/>
    </row>
    <row r="4" spans="2:6" x14ac:dyDescent="0.3">
      <c r="B4" t="s">
        <v>225</v>
      </c>
      <c r="C4" s="49"/>
      <c r="D4" s="49"/>
      <c r="E4" s="3"/>
      <c r="F4" s="3"/>
    </row>
    <row r="5" spans="2:6" x14ac:dyDescent="0.3">
      <c r="C5" s="49"/>
      <c r="D5" s="49"/>
      <c r="E5" s="3"/>
      <c r="F5" s="3"/>
    </row>
    <row r="6" spans="2:6" x14ac:dyDescent="0.3">
      <c r="B6" s="209" t="s">
        <v>226</v>
      </c>
      <c r="C6" s="209"/>
      <c r="D6" s="209"/>
      <c r="E6" s="209" t="s">
        <v>317</v>
      </c>
      <c r="F6" s="209"/>
    </row>
    <row r="7" spans="2:6" ht="16.2" x14ac:dyDescent="0.3">
      <c r="B7" s="3" t="s">
        <v>227</v>
      </c>
      <c r="C7" s="3" t="s">
        <v>12</v>
      </c>
      <c r="D7" s="3" t="s">
        <v>228</v>
      </c>
      <c r="E7" s="3" t="s">
        <v>227</v>
      </c>
      <c r="F7" s="3" t="s">
        <v>12</v>
      </c>
    </row>
    <row r="8" spans="2:6" x14ac:dyDescent="0.3">
      <c r="B8" s="3">
        <v>0</v>
      </c>
      <c r="C8" s="3">
        <v>40</v>
      </c>
      <c r="D8" s="50">
        <v>0</v>
      </c>
      <c r="E8">
        <v>0.03</v>
      </c>
      <c r="F8">
        <v>0.97</v>
      </c>
    </row>
    <row r="9" spans="2:6" x14ac:dyDescent="0.3">
      <c r="B9" s="3">
        <v>4</v>
      </c>
      <c r="C9" s="3">
        <v>36</v>
      </c>
      <c r="D9" s="50">
        <f>B9/C$8</f>
        <v>0.1</v>
      </c>
      <c r="E9" s="9">
        <v>0.75</v>
      </c>
      <c r="F9" s="9">
        <v>0.25</v>
      </c>
    </row>
    <row r="10" spans="2:6" x14ac:dyDescent="0.3">
      <c r="B10" s="3">
        <v>6</v>
      </c>
      <c r="C10" s="3">
        <v>34</v>
      </c>
      <c r="D10" s="50">
        <f t="shared" ref="D10:D15" si="0">B10/C$8</f>
        <v>0.15</v>
      </c>
      <c r="E10" s="9">
        <v>0.82</v>
      </c>
      <c r="F10" s="9">
        <v>0.15</v>
      </c>
    </row>
    <row r="11" spans="2:6" x14ac:dyDescent="0.3">
      <c r="B11" s="3">
        <v>10</v>
      </c>
      <c r="C11" s="3">
        <v>30</v>
      </c>
      <c r="D11" s="50">
        <f t="shared" si="0"/>
        <v>0.25</v>
      </c>
      <c r="E11" s="9">
        <v>0.83</v>
      </c>
      <c r="F11" s="9">
        <v>0.17</v>
      </c>
    </row>
    <row r="12" spans="2:6" x14ac:dyDescent="0.3">
      <c r="B12" s="3">
        <v>14</v>
      </c>
      <c r="C12" s="3">
        <v>26</v>
      </c>
      <c r="D12" s="50">
        <f>B12/C$8</f>
        <v>0.35</v>
      </c>
      <c r="E12" s="9">
        <v>0.87</v>
      </c>
      <c r="F12" s="9">
        <v>0.13</v>
      </c>
    </row>
    <row r="13" spans="2:6" x14ac:dyDescent="0.3">
      <c r="B13" s="3">
        <v>20</v>
      </c>
      <c r="C13" s="3">
        <v>20</v>
      </c>
      <c r="D13" s="50">
        <f>B13/C$8</f>
        <v>0.5</v>
      </c>
      <c r="E13" s="9">
        <v>0.92</v>
      </c>
      <c r="F13" s="9">
        <v>0.08</v>
      </c>
    </row>
    <row r="14" spans="2:6" x14ac:dyDescent="0.3">
      <c r="B14" s="3">
        <v>26</v>
      </c>
      <c r="C14" s="3">
        <v>14</v>
      </c>
      <c r="D14" s="50">
        <f t="shared" si="0"/>
        <v>0.65</v>
      </c>
      <c r="E14" s="9">
        <v>0.95</v>
      </c>
      <c r="F14" s="9">
        <v>0.05</v>
      </c>
    </row>
    <row r="15" spans="2:6" x14ac:dyDescent="0.3">
      <c r="B15" s="3">
        <v>40</v>
      </c>
      <c r="C15" s="3">
        <v>0</v>
      </c>
      <c r="D15" s="50">
        <f t="shared" si="0"/>
        <v>1</v>
      </c>
      <c r="E15">
        <v>0.96</v>
      </c>
      <c r="F15">
        <v>0.04</v>
      </c>
    </row>
    <row r="16" spans="2:6" x14ac:dyDescent="0.3">
      <c r="B16" s="30"/>
      <c r="C16" s="21"/>
      <c r="D16" s="21"/>
      <c r="E16" s="3"/>
      <c r="F16" s="3"/>
    </row>
    <row r="17" spans="2:6" x14ac:dyDescent="0.3">
      <c r="B17" s="30"/>
      <c r="C17" s="21"/>
      <c r="D17" s="21"/>
    </row>
    <row r="18" spans="2:6" x14ac:dyDescent="0.3">
      <c r="B18" s="1"/>
    </row>
    <row r="19" spans="2:6" x14ac:dyDescent="0.3">
      <c r="B19" s="1" t="s">
        <v>167</v>
      </c>
      <c r="C19" s="3"/>
      <c r="D19" s="3"/>
      <c r="E19" s="3"/>
      <c r="F19" s="3"/>
    </row>
    <row r="20" spans="2:6" x14ac:dyDescent="0.3">
      <c r="C20" s="3"/>
      <c r="D20" s="3"/>
      <c r="E20" s="3"/>
      <c r="F20" s="3"/>
    </row>
    <row r="21" spans="2:6" x14ac:dyDescent="0.3">
      <c r="B21" s="1" t="s">
        <v>358</v>
      </c>
      <c r="C21" s="3"/>
      <c r="D21" s="3"/>
      <c r="E21" s="3"/>
      <c r="F21" s="3"/>
    </row>
    <row r="22" spans="2:6" x14ac:dyDescent="0.3">
      <c r="C22" s="3"/>
      <c r="D22" s="3"/>
      <c r="E22" s="3"/>
      <c r="F22" s="3"/>
    </row>
    <row r="23" spans="2:6" x14ac:dyDescent="0.3">
      <c r="B23" t="s">
        <v>225</v>
      </c>
      <c r="C23" s="3"/>
      <c r="D23" s="3"/>
      <c r="E23" s="3"/>
      <c r="F23" s="3"/>
    </row>
    <row r="24" spans="2:6" x14ac:dyDescent="0.3">
      <c r="B24" t="s">
        <v>229</v>
      </c>
      <c r="C24" s="3"/>
      <c r="D24" s="3"/>
      <c r="E24" s="3"/>
      <c r="F24" s="3"/>
    </row>
    <row r="25" spans="2:6" x14ac:dyDescent="0.3">
      <c r="C25" s="3"/>
      <c r="D25" s="3"/>
      <c r="E25" s="3"/>
      <c r="F25" s="3"/>
    </row>
    <row r="26" spans="2:6" ht="16.2" x14ac:dyDescent="0.3">
      <c r="B26" s="1" t="s">
        <v>230</v>
      </c>
      <c r="C26" s="1" t="s">
        <v>231</v>
      </c>
      <c r="D26" s="1" t="s">
        <v>232</v>
      </c>
    </row>
    <row r="27" spans="2:6" x14ac:dyDescent="0.3">
      <c r="B27" s="16" t="s">
        <v>168</v>
      </c>
      <c r="C27" s="16" t="s">
        <v>178</v>
      </c>
      <c r="D27" s="16" t="s">
        <v>170</v>
      </c>
    </row>
    <row r="28" spans="2:6" x14ac:dyDescent="0.3">
      <c r="B28" s="9">
        <v>135.114</v>
      </c>
      <c r="C28">
        <v>6791</v>
      </c>
      <c r="D28" s="29"/>
    </row>
    <row r="29" spans="2:6" x14ac:dyDescent="0.3">
      <c r="B29" s="9">
        <v>139.11879999999999</v>
      </c>
      <c r="C29">
        <v>196</v>
      </c>
      <c r="D29" s="29">
        <f>(C29*0.343550377443745)/(C28+(C29*0.343550377443745))</f>
        <v>9.8181067851242504E-3</v>
      </c>
    </row>
    <row r="30" spans="2:6" x14ac:dyDescent="0.3">
      <c r="B30" s="9">
        <v>166.1206</v>
      </c>
      <c r="C30">
        <v>8099</v>
      </c>
      <c r="D30" s="29"/>
    </row>
    <row r="31" spans="2:6" x14ac:dyDescent="0.3">
      <c r="B31" s="9">
        <v>170.11940000000001</v>
      </c>
      <c r="C31">
        <v>288</v>
      </c>
      <c r="D31" s="29">
        <f>(C31*1.77723970331311)/(C30+(C31*1.77723970331311))</f>
        <v>5.9441905236966838E-2</v>
      </c>
    </row>
    <row r="32" spans="2:6" x14ac:dyDescent="0.3">
      <c r="B32" s="9">
        <v>191.17689999999999</v>
      </c>
      <c r="C32">
        <v>16972</v>
      </c>
      <c r="D32" s="29"/>
    </row>
    <row r="33" spans="2:6" x14ac:dyDescent="0.3">
      <c r="B33" s="9">
        <v>195.17939999999999</v>
      </c>
      <c r="C33">
        <v>87</v>
      </c>
      <c r="D33" s="29">
        <f>(C33*2.29667102757349)/(C32+(C33*2.29667102757349))</f>
        <v>1.163595305237048E-2</v>
      </c>
    </row>
    <row r="34" spans="2:6" x14ac:dyDescent="0.3">
      <c r="B34" s="9">
        <v>205.1909</v>
      </c>
      <c r="C34">
        <v>997</v>
      </c>
      <c r="D34" s="29"/>
    </row>
    <row r="35" spans="2:6" x14ac:dyDescent="0.3">
      <c r="B35" s="9">
        <v>209.1883</v>
      </c>
      <c r="C35">
        <v>146</v>
      </c>
      <c r="D35" s="29">
        <f>(C35*0.986523524207095)/(C34+(C35*0.986523524207095))</f>
        <v>0.12622992140712394</v>
      </c>
    </row>
    <row r="37" spans="2:6" ht="15" thickBot="1" x14ac:dyDescent="0.35">
      <c r="C37" t="s">
        <v>171</v>
      </c>
      <c r="D37" t="s">
        <v>172</v>
      </c>
      <c r="E37" t="s">
        <v>173</v>
      </c>
      <c r="F37" t="s">
        <v>174</v>
      </c>
    </row>
    <row r="38" spans="2:6" ht="15" thickBot="1" x14ac:dyDescent="0.35">
      <c r="B38" t="s">
        <v>175</v>
      </c>
      <c r="C38">
        <v>403676</v>
      </c>
      <c r="D38" s="47">
        <f>(((C29*0.343550377443745)/(C28+(C29*0.343550377443745)))*733.092587+((C31*1.77723970331311)/(C30+(C31*1.77723970331311)))*595.4498616+((C33*2.29667102757349)/(C32+(C33*2.29667102757349)))*4175.842325+((C35*0.986523524207095)/(C34+(C35*0.986523524207095)))*485.2112546)/5989.596028</f>
        <v>2.5449185323747313E-2</v>
      </c>
      <c r="E38" s="48">
        <f>1-D38</f>
        <v>0.97455081467625271</v>
      </c>
      <c r="F38" s="31">
        <f>SQRT((SUM(733.092587*(D29-D38)^2,595.4498616*(D31-D38)^2,4175.842325*(D33-D38)^2,485.2112546*(D35-D38)^2))/(5989.59602785596))</f>
        <v>3.3175188265988427E-2</v>
      </c>
    </row>
    <row r="41" spans="2:6" ht="16.2" x14ac:dyDescent="0.3">
      <c r="B41" s="1" t="s">
        <v>233</v>
      </c>
      <c r="C41" s="1" t="s">
        <v>234</v>
      </c>
      <c r="D41" s="1" t="s">
        <v>235</v>
      </c>
    </row>
    <row r="42" spans="2:6" x14ac:dyDescent="0.3">
      <c r="B42" s="16" t="s">
        <v>168</v>
      </c>
      <c r="C42" s="16" t="s">
        <v>178</v>
      </c>
      <c r="D42" s="16" t="s">
        <v>170</v>
      </c>
    </row>
    <row r="43" spans="2:6" x14ac:dyDescent="0.3">
      <c r="B43" s="9">
        <v>135.114</v>
      </c>
      <c r="C43">
        <v>6350</v>
      </c>
    </row>
    <row r="44" spans="2:6" x14ac:dyDescent="0.3">
      <c r="B44" s="9">
        <v>139.11879999999999</v>
      </c>
      <c r="C44">
        <v>55429</v>
      </c>
      <c r="D44" s="29">
        <f>(C44*0.343550377443745)/(C43+(C44*0.343550377443745))</f>
        <v>0.74992767466618615</v>
      </c>
    </row>
    <row r="45" spans="2:6" x14ac:dyDescent="0.3">
      <c r="B45" s="9">
        <v>166.1206</v>
      </c>
      <c r="C45">
        <v>4064</v>
      </c>
      <c r="D45" s="29"/>
    </row>
    <row r="46" spans="2:6" x14ac:dyDescent="0.3">
      <c r="B46" s="9">
        <v>170.11940000000001</v>
      </c>
      <c r="C46">
        <v>6542</v>
      </c>
      <c r="D46" s="29">
        <f>(C46*1.77723970331311)/(C45+(C46*1.77723970331311))</f>
        <v>0.74099310763923876</v>
      </c>
    </row>
    <row r="47" spans="2:6" x14ac:dyDescent="0.3">
      <c r="B47" s="9">
        <v>191.17689999999999</v>
      </c>
      <c r="C47">
        <v>8458</v>
      </c>
      <c r="D47" s="29"/>
    </row>
    <row r="48" spans="2:6" x14ac:dyDescent="0.3">
      <c r="B48" s="9">
        <v>195.17939999999999</v>
      </c>
      <c r="C48">
        <v>10520</v>
      </c>
      <c r="D48" s="29">
        <f>(C48*2.29667102757349)/(C47+(C48*2.29667102757349))</f>
        <v>0.74070310583514298</v>
      </c>
    </row>
    <row r="49" spans="2:6" x14ac:dyDescent="0.3">
      <c r="B49" s="9">
        <v>205.1909</v>
      </c>
      <c r="C49">
        <v>464</v>
      </c>
      <c r="D49" s="29"/>
    </row>
    <row r="50" spans="2:6" x14ac:dyDescent="0.3">
      <c r="B50" s="9">
        <v>209.1883</v>
      </c>
      <c r="C50">
        <v>2165</v>
      </c>
      <c r="D50" s="29">
        <f>(C50*0.986523524207095)/(C49+(C50*0.986523524207095))</f>
        <v>0.82152634111142109</v>
      </c>
    </row>
    <row r="52" spans="2:6" ht="15" thickBot="1" x14ac:dyDescent="0.35">
      <c r="C52" t="s">
        <v>171</v>
      </c>
      <c r="D52" t="s">
        <v>172</v>
      </c>
      <c r="E52" t="s">
        <v>173</v>
      </c>
      <c r="F52" t="s">
        <v>174</v>
      </c>
    </row>
    <row r="53" spans="2:6" ht="15" thickBot="1" x14ac:dyDescent="0.35">
      <c r="B53" t="s">
        <v>175</v>
      </c>
      <c r="C53">
        <v>588350</v>
      </c>
      <c r="D53" s="47">
        <f>(((C44*0.343550377443745)/(C43+(C44*0.343550377443745)))*733.092587+((C46*1.77723970331311)/(C45+(C46*1.77723970331311)))*595.4498616+((C48*2.29667102757349)/(C47+(C48*2.29667102757349)))*4175.842325+((C50*0.986523524207095)/(C49+(C50*0.986523524207095)))*485.2112546)/5989.596028</f>
        <v>0.74840838143036637</v>
      </c>
      <c r="E53" s="48">
        <f>1-D53</f>
        <v>0.25159161856963363</v>
      </c>
      <c r="F53" s="31">
        <f>SQRT((SUM(733.092587*(D44-D53)^2,595.4498616*(D46-D53)^2,4175.842325*(D48-D53)^2,485.2112546*(D50-D53)^2))/(5989.59602785596))</f>
        <v>2.1914261145511801E-2</v>
      </c>
    </row>
    <row r="56" spans="2:6" ht="16.2" x14ac:dyDescent="0.3">
      <c r="B56" s="1" t="s">
        <v>236</v>
      </c>
      <c r="C56" s="1" t="s">
        <v>237</v>
      </c>
      <c r="D56" s="1" t="s">
        <v>238</v>
      </c>
    </row>
    <row r="57" spans="2:6" x14ac:dyDescent="0.3">
      <c r="B57" s="16" t="s">
        <v>168</v>
      </c>
      <c r="C57" s="16" t="s">
        <v>178</v>
      </c>
      <c r="D57" s="16" t="s">
        <v>170</v>
      </c>
    </row>
    <row r="58" spans="2:6" x14ac:dyDescent="0.3">
      <c r="B58" s="9">
        <v>135.114</v>
      </c>
      <c r="C58">
        <v>1777</v>
      </c>
      <c r="D58" s="29"/>
      <c r="E58" s="29"/>
    </row>
    <row r="59" spans="2:6" x14ac:dyDescent="0.3">
      <c r="B59" s="9">
        <v>139.11879999999999</v>
      </c>
      <c r="C59">
        <v>33478</v>
      </c>
      <c r="D59" s="29">
        <f>(C59*0.343550377443745)/(C58+(C59*0.343550377443745))</f>
        <v>0.86617342913162054</v>
      </c>
      <c r="E59" s="29"/>
    </row>
    <row r="60" spans="2:6" x14ac:dyDescent="0.3">
      <c r="B60" s="9">
        <v>166.1206</v>
      </c>
      <c r="C60">
        <v>1622</v>
      </c>
      <c r="D60" s="29"/>
      <c r="E60" s="29"/>
    </row>
    <row r="61" spans="2:6" x14ac:dyDescent="0.3">
      <c r="B61" s="9">
        <v>170.11940000000001</v>
      </c>
      <c r="C61">
        <v>6238</v>
      </c>
      <c r="D61" s="29">
        <f>(C61*1.77723970331311)/(C60+(C61*1.77723970331311))</f>
        <v>0.87236809626995226</v>
      </c>
      <c r="E61" s="29"/>
    </row>
    <row r="62" spans="2:6" x14ac:dyDescent="0.3">
      <c r="B62" s="9">
        <v>191.17689999999999</v>
      </c>
      <c r="C62">
        <v>3449</v>
      </c>
      <c r="D62" s="29"/>
      <c r="E62" s="29"/>
    </row>
    <row r="63" spans="2:6" x14ac:dyDescent="0.3">
      <c r="B63" s="9">
        <v>195.17939999999999</v>
      </c>
      <c r="C63">
        <v>11470</v>
      </c>
      <c r="D63" s="29">
        <f>(C63*2.29667102757349)/(C62+(C63*2.29667102757349))</f>
        <v>0.88422995360367662</v>
      </c>
      <c r="E63" s="29"/>
    </row>
    <row r="64" spans="2:6" x14ac:dyDescent="0.3">
      <c r="B64" s="9">
        <v>205.1909</v>
      </c>
      <c r="C64">
        <v>81</v>
      </c>
      <c r="D64" s="29"/>
      <c r="E64" s="29"/>
    </row>
    <row r="65" spans="2:6" x14ac:dyDescent="0.3">
      <c r="B65" s="9">
        <v>209.1883</v>
      </c>
      <c r="C65">
        <v>734</v>
      </c>
      <c r="D65" s="29">
        <f>(C65*0.986523524207095)/(C64+(C65*0.986523524207095))</f>
        <v>0.89939241299165518</v>
      </c>
      <c r="E65" s="29"/>
    </row>
    <row r="66" spans="2:6" x14ac:dyDescent="0.3">
      <c r="D66" s="29"/>
      <c r="E66" s="29"/>
    </row>
    <row r="67" spans="2:6" ht="15" thickBot="1" x14ac:dyDescent="0.35">
      <c r="C67" t="s">
        <v>171</v>
      </c>
      <c r="D67" t="s">
        <v>172</v>
      </c>
      <c r="E67" t="s">
        <v>173</v>
      </c>
      <c r="F67" t="s">
        <v>174</v>
      </c>
    </row>
    <row r="68" spans="2:6" ht="15" thickBot="1" x14ac:dyDescent="0.35">
      <c r="B68" t="s">
        <v>175</v>
      </c>
      <c r="C68">
        <v>673963</v>
      </c>
      <c r="D68" s="47">
        <f>(((C59*0.343550377443745)/(C58+(C59*0.343550377443745)))*733.092587+((C61*1.77723970331311)/(C60+(C61*1.77723970331311)))*595.4498616+((C63*2.29667102757349)/(C62+(C63*2.29667102757349)))*4175.842325+((C65*0.986523524207095)/(C64+(C65*0.986523524207095)))*485.2112546)/5989.596028</f>
        <v>0.88206899827959162</v>
      </c>
      <c r="E68" s="48">
        <f>1-D68</f>
        <v>0.11793100172040838</v>
      </c>
      <c r="F68" s="31">
        <f>SQRT((SUM(733.092587*(D59-D68)^2,595.4498616*(D61-D68)^2,4175.842325*(D63-D68)^2,485.2112546*(D65-D68)^2))/(5989.59602785596))</f>
        <v>8.236952522213993E-3</v>
      </c>
    </row>
    <row r="71" spans="2:6" ht="16.2" x14ac:dyDescent="0.3">
      <c r="B71" s="1" t="s">
        <v>239</v>
      </c>
      <c r="C71" s="1" t="s">
        <v>240</v>
      </c>
      <c r="D71" s="1" t="s">
        <v>241</v>
      </c>
    </row>
    <row r="72" spans="2:6" x14ac:dyDescent="0.3">
      <c r="B72" s="16" t="s">
        <v>168</v>
      </c>
      <c r="C72" s="16" t="s">
        <v>178</v>
      </c>
      <c r="D72" s="16" t="s">
        <v>170</v>
      </c>
    </row>
    <row r="73" spans="2:6" x14ac:dyDescent="0.3">
      <c r="B73" s="9">
        <v>135.114</v>
      </c>
      <c r="C73">
        <v>5842</v>
      </c>
      <c r="D73" s="29"/>
    </row>
    <row r="74" spans="2:6" x14ac:dyDescent="0.3">
      <c r="B74" s="9">
        <v>139.11879999999999</v>
      </c>
      <c r="C74">
        <v>76668</v>
      </c>
      <c r="D74" s="29">
        <f>(C74*0.343550377443745)/(C73+(C74*0.343550377443745))</f>
        <v>0.81846611827397076</v>
      </c>
    </row>
    <row r="75" spans="2:6" x14ac:dyDescent="0.3">
      <c r="B75" s="9">
        <v>166.1206</v>
      </c>
      <c r="C75">
        <v>5546</v>
      </c>
      <c r="D75" s="29"/>
    </row>
    <row r="76" spans="2:6" x14ac:dyDescent="0.3">
      <c r="B76" s="9">
        <v>170.11940000000001</v>
      </c>
      <c r="C76">
        <v>11761</v>
      </c>
      <c r="D76" s="29">
        <f>(C76*1.77723970331311)/(C75+(C76*1.77723970331311))</f>
        <v>0.79030642604537826</v>
      </c>
    </row>
    <row r="77" spans="2:6" x14ac:dyDescent="0.3">
      <c r="B77" s="9">
        <v>191.17689999999999</v>
      </c>
      <c r="C77">
        <v>9831</v>
      </c>
      <c r="D77" s="29"/>
    </row>
    <row r="78" spans="2:6" x14ac:dyDescent="0.3">
      <c r="B78" s="9">
        <v>195.17939999999999</v>
      </c>
      <c r="C78">
        <v>24602</v>
      </c>
      <c r="D78" s="29">
        <f>(C78*2.29667102757349)/(C77+(C78*2.29667102757349))</f>
        <v>0.85179479046006823</v>
      </c>
    </row>
    <row r="79" spans="2:6" x14ac:dyDescent="0.3">
      <c r="B79" s="9">
        <v>205.1909</v>
      </c>
      <c r="C79">
        <v>883</v>
      </c>
      <c r="D79" s="29"/>
    </row>
    <row r="80" spans="2:6" x14ac:dyDescent="0.3">
      <c r="B80" s="9">
        <v>209.1883</v>
      </c>
      <c r="C80">
        <v>2845</v>
      </c>
      <c r="D80" s="29">
        <f>(C80*0.986523524207095)/(C79+(C80*0.986523524207095))</f>
        <v>0.76068251890963356</v>
      </c>
    </row>
    <row r="82" spans="2:6" ht="15" thickBot="1" x14ac:dyDescent="0.35">
      <c r="C82" t="s">
        <v>171</v>
      </c>
      <c r="D82" t="s">
        <v>172</v>
      </c>
      <c r="E82" t="s">
        <v>173</v>
      </c>
      <c r="F82" t="s">
        <v>174</v>
      </c>
    </row>
    <row r="83" spans="2:6" ht="15" thickBot="1" x14ac:dyDescent="0.35">
      <c r="B83" t="s">
        <v>175</v>
      </c>
      <c r="C83">
        <v>935264</v>
      </c>
      <c r="D83" s="47">
        <f>(((C74*0.343550377443745)/(C73+(C74*0.343550377443745)))*733.092587+((C76*1.77723970331311)/(C75+(C76*1.77723970331311)))*595.4498616+((C78*2.29667102757349)/(C77+(C78*2.29667102757349)))*4175.842325+((C80*0.986523524207095)/(C79+(C80*0.986523524207095)))*485.2112546)/5989.596028</f>
        <v>0.83422182902477948</v>
      </c>
      <c r="E83" s="48">
        <f>1-D83</f>
        <v>0.16577817097522052</v>
      </c>
      <c r="F83" s="31">
        <f>SQRT((SUM(733.092587*(D74-D83)^2,595.4498616*(D76-D83)^2,4175.842325*(D78-D83)^2,485.2112546*(D80-D83)^2))/(5989.59602785596))</f>
        <v>2.9588934928832133E-2</v>
      </c>
    </row>
    <row r="86" spans="2:6" ht="16.2" x14ac:dyDescent="0.3">
      <c r="B86" s="1" t="s">
        <v>242</v>
      </c>
      <c r="C86" s="1" t="s">
        <v>243</v>
      </c>
      <c r="D86" s="1" t="s">
        <v>244</v>
      </c>
    </row>
    <row r="87" spans="2:6" x14ac:dyDescent="0.3">
      <c r="B87" s="16" t="s">
        <v>168</v>
      </c>
      <c r="C87" s="16" t="s">
        <v>178</v>
      </c>
      <c r="D87" s="16" t="s">
        <v>170</v>
      </c>
    </row>
    <row r="88" spans="2:6" x14ac:dyDescent="0.3">
      <c r="B88" s="9">
        <v>135.114</v>
      </c>
      <c r="C88">
        <v>4413</v>
      </c>
    </row>
    <row r="89" spans="2:6" x14ac:dyDescent="0.3">
      <c r="B89" s="9">
        <v>139.11879999999999</v>
      </c>
      <c r="C89">
        <v>87631</v>
      </c>
      <c r="D89" s="29">
        <f>(C89*0.343550377443745)/(C88+(C89*0.343550377443745))</f>
        <v>0.87215611497117629</v>
      </c>
      <c r="E89" s="29"/>
    </row>
    <row r="90" spans="2:6" x14ac:dyDescent="0.3">
      <c r="B90" s="9">
        <v>166.1206</v>
      </c>
      <c r="C90">
        <v>4111</v>
      </c>
      <c r="D90" s="29"/>
      <c r="E90" s="29"/>
    </row>
    <row r="91" spans="2:6" x14ac:dyDescent="0.3">
      <c r="B91" s="9">
        <v>170.11940000000001</v>
      </c>
      <c r="C91">
        <v>13680</v>
      </c>
      <c r="D91" s="29">
        <f>(C91*1.77723970331311)/(C90+(C91*1.77723970331311))</f>
        <v>0.85536686630589553</v>
      </c>
      <c r="E91" s="29"/>
    </row>
    <row r="92" spans="2:6" x14ac:dyDescent="0.3">
      <c r="B92" s="9">
        <v>191.17689999999999</v>
      </c>
      <c r="C92">
        <v>9324</v>
      </c>
      <c r="D92" s="29"/>
      <c r="E92" s="29"/>
    </row>
    <row r="93" spans="2:6" x14ac:dyDescent="0.3">
      <c r="B93" s="9">
        <v>195.17939999999999</v>
      </c>
      <c r="C93">
        <v>27927</v>
      </c>
      <c r="D93" s="29">
        <f>(C93*2.29667102757349)/(C92+(C93*2.29667102757349))</f>
        <v>0.87307919260740963</v>
      </c>
      <c r="E93" s="29"/>
    </row>
    <row r="94" spans="2:6" x14ac:dyDescent="0.3">
      <c r="B94" s="9">
        <v>205.1909</v>
      </c>
      <c r="C94">
        <v>909</v>
      </c>
      <c r="D94" s="29"/>
      <c r="E94" s="29"/>
    </row>
    <row r="95" spans="2:6" x14ac:dyDescent="0.3">
      <c r="B95" s="9">
        <v>209.1883</v>
      </c>
      <c r="C95">
        <v>3646</v>
      </c>
      <c r="D95" s="29">
        <f>(C95*0.986523524207095)/(C94+(C95*0.986523524207095))</f>
        <v>0.79826292031629853</v>
      </c>
      <c r="E95" s="29"/>
    </row>
    <row r="97" spans="2:6" ht="15" thickBot="1" x14ac:dyDescent="0.35">
      <c r="C97" t="s">
        <v>171</v>
      </c>
      <c r="D97" t="s">
        <v>172</v>
      </c>
      <c r="E97" t="s">
        <v>173</v>
      </c>
      <c r="F97" t="s">
        <v>174</v>
      </c>
    </row>
    <row r="98" spans="2:6" ht="15" thickBot="1" x14ac:dyDescent="0.35">
      <c r="B98" t="s">
        <v>175</v>
      </c>
      <c r="C98">
        <v>968711</v>
      </c>
      <c r="D98" s="47">
        <f>(((C89*0.343550377443745)/(C88+(C89*0.343550377443745)))*733.092587+((C91*1.77723970331311)/(C90+(C91*1.77723970331311)))*595.4498616+((C93*2.29667102757349)/(C92+(C93*2.29667102757349)))*4175.842325+((C95*0.986523524207095)/(C94+(C95*0.986523524207095)))*485.2112546)/5989.596028</f>
        <v>0.86514456720641775</v>
      </c>
      <c r="E98" s="48">
        <f>1-D98</f>
        <v>0.13485543279358225</v>
      </c>
      <c r="F98" s="31">
        <f>SQRT((SUM(733.092587*(D89-D98)^2,595.4498616*(D91-D98)^2,4175.842325*(D93-D98)^2,485.2112546*(D95-D98)^2))/(5989.59602785596))</f>
        <v>2.0537300416470009E-2</v>
      </c>
    </row>
    <row r="101" spans="2:6" ht="16.2" x14ac:dyDescent="0.3">
      <c r="B101" s="1" t="s">
        <v>245</v>
      </c>
      <c r="C101" s="1" t="s">
        <v>246</v>
      </c>
      <c r="D101" s="1" t="s">
        <v>247</v>
      </c>
    </row>
    <row r="102" spans="2:6" x14ac:dyDescent="0.3">
      <c r="B102" s="16" t="s">
        <v>168</v>
      </c>
      <c r="C102" s="16" t="s">
        <v>178</v>
      </c>
      <c r="D102" s="16" t="s">
        <v>170</v>
      </c>
    </row>
    <row r="103" spans="2:6" x14ac:dyDescent="0.3">
      <c r="B103" s="9">
        <v>135.114</v>
      </c>
      <c r="C103">
        <v>5013</v>
      </c>
      <c r="D103" s="29"/>
    </row>
    <row r="104" spans="2:6" x14ac:dyDescent="0.3">
      <c r="B104" s="9">
        <v>139.11879999999999</v>
      </c>
      <c r="C104">
        <v>100666</v>
      </c>
      <c r="D104" s="29">
        <f>(C104*0.343550377443745)/(C103+(C104*0.343550377443745))</f>
        <v>0.87339899574421886</v>
      </c>
    </row>
    <row r="105" spans="2:6" x14ac:dyDescent="0.3">
      <c r="B105" s="9">
        <v>166.1206</v>
      </c>
      <c r="C105">
        <v>2380</v>
      </c>
      <c r="D105" s="29"/>
    </row>
    <row r="106" spans="2:6" x14ac:dyDescent="0.3">
      <c r="B106" s="9">
        <v>170.11940000000001</v>
      </c>
      <c r="C106">
        <v>15492</v>
      </c>
      <c r="D106" s="29">
        <f>(C106*1.77723970331311)/(C105+(C106*1.77723970331311))</f>
        <v>0.92043592417327047</v>
      </c>
    </row>
    <row r="107" spans="2:6" x14ac:dyDescent="0.3">
      <c r="B107" s="9">
        <v>191.17689999999999</v>
      </c>
      <c r="C107">
        <v>7365</v>
      </c>
      <c r="D107" s="29"/>
    </row>
    <row r="108" spans="2:6" x14ac:dyDescent="0.3">
      <c r="B108" s="9">
        <v>195.17939999999999</v>
      </c>
      <c r="C108">
        <v>37272</v>
      </c>
      <c r="D108" s="29">
        <f>(C108*2.29667102757349)/(C107+(C108*2.29667102757349))</f>
        <v>0.92077793383254314</v>
      </c>
    </row>
    <row r="109" spans="2:6" x14ac:dyDescent="0.3">
      <c r="B109" s="9">
        <v>205.1909</v>
      </c>
      <c r="C109">
        <v>247</v>
      </c>
      <c r="D109" s="29"/>
    </row>
    <row r="110" spans="2:6" x14ac:dyDescent="0.3">
      <c r="B110" s="9">
        <v>209.1883</v>
      </c>
      <c r="C110">
        <v>4351</v>
      </c>
      <c r="D110" s="29">
        <f>(C110*0.986523524207095)/(C109+(C110*0.986523524207095))</f>
        <v>0.94558708930286195</v>
      </c>
    </row>
    <row r="112" spans="2:6" ht="15" thickBot="1" x14ac:dyDescent="0.35">
      <c r="C112" t="s">
        <v>171</v>
      </c>
      <c r="D112" t="s">
        <v>172</v>
      </c>
      <c r="E112" t="s">
        <v>173</v>
      </c>
      <c r="F112" t="s">
        <v>174</v>
      </c>
    </row>
    <row r="113" spans="2:6" ht="15" thickBot="1" x14ac:dyDescent="0.35">
      <c r="B113" t="s">
        <v>175</v>
      </c>
      <c r="C113">
        <v>1154387</v>
      </c>
      <c r="D113" s="47">
        <f>(((C104*0.343550377443745)/(C103+(C104*0.343550377443745)))*733.092587+((C106*1.77723970331311)/(C105+(C106*1.77723970331311)))*595.4498616+((C108*2.29667102757349)/(C107+(C108*2.29667102757349)))*4175.842325+((C110*0.986523524207095)/(C109+(C110*0.986523524207095)))*485.2112546)/5989.596028</f>
        <v>0.91695478513365958</v>
      </c>
      <c r="E113" s="48">
        <f>1-D113</f>
        <v>8.3045214866340422E-2</v>
      </c>
      <c r="F113" s="31">
        <f>SQRT((SUM(733.092587*(D104-D113)^2,595.4498616*(D106-D113)^2,4175.842325*(D108-D113)^2,485.2112546*(D110-D113)^2))/(5989.59602785596))</f>
        <v>1.760687634862762E-2</v>
      </c>
    </row>
    <row r="116" spans="2:6" ht="16.2" x14ac:dyDescent="0.3">
      <c r="B116" s="1" t="s">
        <v>248</v>
      </c>
      <c r="C116" s="1" t="s">
        <v>249</v>
      </c>
      <c r="D116" s="1" t="s">
        <v>250</v>
      </c>
    </row>
    <row r="117" spans="2:6" x14ac:dyDescent="0.3">
      <c r="B117" s="16" t="s">
        <v>168</v>
      </c>
      <c r="C117" s="16" t="s">
        <v>178</v>
      </c>
      <c r="D117" s="16" t="s">
        <v>170</v>
      </c>
    </row>
    <row r="118" spans="2:6" x14ac:dyDescent="0.3">
      <c r="B118" s="9">
        <v>135.114</v>
      </c>
      <c r="C118">
        <v>3390</v>
      </c>
      <c r="D118" s="29"/>
      <c r="E118" s="29"/>
    </row>
    <row r="119" spans="2:6" x14ac:dyDescent="0.3">
      <c r="B119" s="9">
        <v>139.11879999999999</v>
      </c>
      <c r="C119">
        <v>104458</v>
      </c>
      <c r="D119" s="29">
        <f>(C119*0.343550377443745)/(C118+(C119*0.343550377443745))</f>
        <v>0.91368903452846784</v>
      </c>
      <c r="E119" s="29"/>
    </row>
    <row r="120" spans="2:6" x14ac:dyDescent="0.3">
      <c r="B120" s="9">
        <v>166.1206</v>
      </c>
      <c r="C120">
        <v>1462</v>
      </c>
      <c r="D120" s="29"/>
      <c r="E120" s="29"/>
    </row>
    <row r="121" spans="2:6" x14ac:dyDescent="0.3">
      <c r="B121" s="9">
        <v>170.11940000000001</v>
      </c>
      <c r="C121">
        <v>17385</v>
      </c>
      <c r="D121" s="29">
        <f>(C121*1.77723970331311)/(C120+(C121*1.77723970331311))</f>
        <v>0.95481980614847606</v>
      </c>
      <c r="E121" s="29"/>
    </row>
    <row r="122" spans="2:6" x14ac:dyDescent="0.3">
      <c r="B122" s="9">
        <v>191.17689999999999</v>
      </c>
      <c r="C122">
        <v>3953</v>
      </c>
      <c r="D122" s="29"/>
      <c r="E122" s="29"/>
    </row>
    <row r="123" spans="2:6" x14ac:dyDescent="0.3">
      <c r="B123" s="9">
        <v>195.17939999999999</v>
      </c>
      <c r="C123">
        <v>31716</v>
      </c>
      <c r="D123" s="29">
        <f>(C123*2.29667102757349)/(C122+(C123*2.29667102757349))</f>
        <v>0.94852477065375063</v>
      </c>
      <c r="E123" s="29"/>
    </row>
    <row r="124" spans="2:6" x14ac:dyDescent="0.3">
      <c r="B124" s="9">
        <v>205.1909</v>
      </c>
      <c r="C124">
        <v>100</v>
      </c>
      <c r="D124" s="29"/>
      <c r="E124" s="29"/>
    </row>
    <row r="125" spans="2:6" x14ac:dyDescent="0.3">
      <c r="B125" s="9">
        <v>209.1883</v>
      </c>
      <c r="C125">
        <v>3507</v>
      </c>
      <c r="D125" s="29">
        <f>(C125*0.986523524207095)/(C124+(C125*0.986523524207095))</f>
        <v>0.97190804491313243</v>
      </c>
      <c r="E125" s="29"/>
    </row>
    <row r="126" spans="2:6" x14ac:dyDescent="0.3">
      <c r="D126" s="29"/>
      <c r="E126" s="29"/>
    </row>
    <row r="127" spans="2:6" ht="15" thickBot="1" x14ac:dyDescent="0.35">
      <c r="C127" t="s">
        <v>171</v>
      </c>
      <c r="D127" t="s">
        <v>172</v>
      </c>
      <c r="E127" t="s">
        <v>173</v>
      </c>
      <c r="F127" t="s">
        <v>174</v>
      </c>
    </row>
    <row r="128" spans="2:6" ht="15" thickBot="1" x14ac:dyDescent="0.35">
      <c r="B128" t="s">
        <v>175</v>
      </c>
      <c r="C128">
        <v>1135377</v>
      </c>
      <c r="D128" s="47">
        <f>(((C119*0.343550377443745)/(C118+(C119*0.343550377443745)))*733.092587+((C121*1.77723970331311)/(C120+(C121*1.77723970331311)))*595.4498616+((C123*2.29667102757349)/(C122+(C123*2.29667102757349)))*4175.842325+((C125*0.986523524207095)/(C124+(C125*0.986523524207095)))*485.2112546)/5989.596028</f>
        <v>0.9467811449027892</v>
      </c>
      <c r="E128" s="48">
        <f>1-D128</f>
        <v>5.3218855097210804E-2</v>
      </c>
      <c r="F128" s="31">
        <f>SQRT((SUM(733.092587*(D119-D128)^2,595.4498616*(D121-D128)^2,4175.842325*(D123-D128)^2,485.2112546*(D125-D128)^2))/(5989.59602785596))</f>
        <v>1.3918412614682027E-2</v>
      </c>
    </row>
    <row r="131" spans="2:6" ht="16.2" x14ac:dyDescent="0.3">
      <c r="B131" s="1" t="s">
        <v>251</v>
      </c>
      <c r="C131" s="1" t="s">
        <v>252</v>
      </c>
      <c r="D131" s="1" t="s">
        <v>253</v>
      </c>
    </row>
    <row r="132" spans="2:6" x14ac:dyDescent="0.3">
      <c r="B132" s="16" t="s">
        <v>168</v>
      </c>
      <c r="C132" s="16" t="s">
        <v>178</v>
      </c>
      <c r="D132" s="16" t="s">
        <v>170</v>
      </c>
    </row>
    <row r="133" spans="2:6" x14ac:dyDescent="0.3">
      <c r="B133" s="9">
        <v>135.114</v>
      </c>
      <c r="C133">
        <v>3968</v>
      </c>
    </row>
    <row r="134" spans="2:6" x14ac:dyDescent="0.3">
      <c r="B134" s="9">
        <v>139.11879999999999</v>
      </c>
      <c r="C134">
        <v>116693</v>
      </c>
      <c r="D134" s="29">
        <f>(C134*0.343550377443745)/(C133+(C134*0.343550377443745))</f>
        <v>0.90993674639699773</v>
      </c>
    </row>
    <row r="135" spans="2:6" x14ac:dyDescent="0.3">
      <c r="B135" s="9">
        <v>166.1206</v>
      </c>
      <c r="C135">
        <v>187</v>
      </c>
      <c r="D135" s="29"/>
    </row>
    <row r="136" spans="2:6" x14ac:dyDescent="0.3">
      <c r="B136" s="9">
        <v>170.11940000000001</v>
      </c>
      <c r="C136">
        <v>17965</v>
      </c>
      <c r="D136" s="29">
        <f>(C136*1.77723970331311)/(C135+(C136*1.77723970331311))</f>
        <v>0.99417719594904319</v>
      </c>
    </row>
    <row r="137" spans="2:6" x14ac:dyDescent="0.3">
      <c r="B137" s="9">
        <v>191.17689999999999</v>
      </c>
      <c r="C137">
        <v>2931</v>
      </c>
      <c r="D137" s="29"/>
    </row>
    <row r="138" spans="2:6" x14ac:dyDescent="0.3">
      <c r="B138" s="9">
        <v>195.17939999999999</v>
      </c>
      <c r="C138">
        <v>38041</v>
      </c>
      <c r="D138" s="29">
        <f>(C138*2.29667102757349)/(C137+(C138*2.29667102757349))</f>
        <v>0.96754104748722103</v>
      </c>
    </row>
    <row r="139" spans="2:6" x14ac:dyDescent="0.3">
      <c r="B139" s="9">
        <v>205.1909</v>
      </c>
      <c r="C139">
        <v>367</v>
      </c>
      <c r="D139" s="29"/>
    </row>
    <row r="140" spans="2:6" x14ac:dyDescent="0.3">
      <c r="B140" s="9">
        <v>209.1883</v>
      </c>
      <c r="C140">
        <v>3888</v>
      </c>
      <c r="D140" s="29">
        <f>(C140*0.986523524207095)/(C139+(C140*0.986523524207095))</f>
        <v>0.91267317906431422</v>
      </c>
    </row>
    <row r="142" spans="2:6" ht="15" thickBot="1" x14ac:dyDescent="0.35">
      <c r="C142" t="s">
        <v>171</v>
      </c>
      <c r="D142" t="s">
        <v>172</v>
      </c>
      <c r="E142" t="s">
        <v>173</v>
      </c>
      <c r="F142" t="s">
        <v>174</v>
      </c>
    </row>
    <row r="143" spans="2:6" ht="15" thickBot="1" x14ac:dyDescent="0.35">
      <c r="B143" t="s">
        <v>175</v>
      </c>
      <c r="C143">
        <v>1214390</v>
      </c>
      <c r="D143" s="47">
        <f>(((C134*0.343550377443745)/(C133+(C134*0.343550377443745)))*733.092587+((C136*1.77723970331311)/(C135+(C136*1.77723970331311)))*595.4498616+((C138*2.29667102757349)/(C137+(C138*2.29667102757349)))*4175.842325+((C140*0.986523524207095)/(C139+(C140*0.986523524207095)))*485.2112546)/5989.596028</f>
        <v>0.95869382272834136</v>
      </c>
      <c r="E143" s="48">
        <f>1-D143</f>
        <v>4.130617727165864E-2</v>
      </c>
      <c r="F143" s="31">
        <f>SQRT((SUM(733.092587*(D134-D143)^2,595.4498616*(D136-D143)^2,4175.842325*(D138-D143)^2,485.2112546*(D140-D143)^2))/(5989.59602785596))</f>
        <v>2.5343070505116874E-2</v>
      </c>
    </row>
  </sheetData>
  <mergeCells count="2">
    <mergeCell ref="E6:F6"/>
    <mergeCell ref="B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C1" workbookViewId="0">
      <selection activeCell="A2" sqref="A2"/>
    </sheetView>
  </sheetViews>
  <sheetFormatPr defaultRowHeight="14.4" x14ac:dyDescent="0.3"/>
  <cols>
    <col min="1" max="1" width="27.44140625" bestFit="1" customWidth="1"/>
    <col min="2" max="4" width="10.44140625" bestFit="1" customWidth="1"/>
    <col min="7" max="7" width="17.33203125" bestFit="1" customWidth="1"/>
    <col min="9" max="11" width="10.44140625" bestFit="1" customWidth="1"/>
    <col min="14" max="14" width="17.33203125" bestFit="1" customWidth="1"/>
    <col min="16" max="18" width="10.44140625" bestFit="1" customWidth="1"/>
    <col min="21" max="21" width="17.33203125" bestFit="1" customWidth="1"/>
  </cols>
  <sheetData>
    <row r="1" spans="1:22" x14ac:dyDescent="0.3">
      <c r="A1" s="1" t="s">
        <v>390</v>
      </c>
    </row>
    <row r="2" spans="1:22" x14ac:dyDescent="0.3">
      <c r="B2" s="208" t="s">
        <v>0</v>
      </c>
      <c r="C2" s="208"/>
      <c r="D2" s="208"/>
      <c r="E2" s="208"/>
      <c r="F2" s="208"/>
      <c r="G2" s="2"/>
      <c r="H2" s="2"/>
      <c r="I2" s="208" t="s">
        <v>1</v>
      </c>
      <c r="J2" s="208"/>
      <c r="K2" s="208"/>
      <c r="L2" s="208"/>
      <c r="M2" s="208"/>
      <c r="N2" s="2"/>
      <c r="O2" s="2"/>
      <c r="P2" s="208" t="s">
        <v>2</v>
      </c>
      <c r="Q2" s="208"/>
      <c r="R2" s="208"/>
      <c r="S2" s="208"/>
      <c r="T2" s="208"/>
    </row>
    <row r="3" spans="1:22" x14ac:dyDescent="0.3">
      <c r="B3" s="209" t="s">
        <v>3</v>
      </c>
      <c r="C3" s="210"/>
      <c r="D3" s="210"/>
      <c r="E3" s="207" t="s">
        <v>4</v>
      </c>
      <c r="F3" s="207" t="s">
        <v>5</v>
      </c>
      <c r="G3" s="207" t="s">
        <v>6</v>
      </c>
      <c r="H3" s="207"/>
      <c r="I3" s="209" t="s">
        <v>3</v>
      </c>
      <c r="J3" s="210"/>
      <c r="K3" s="210"/>
      <c r="L3" s="207" t="s">
        <v>4</v>
      </c>
      <c r="M3" s="207" t="s">
        <v>5</v>
      </c>
      <c r="N3" s="207" t="s">
        <v>6</v>
      </c>
      <c r="O3" s="207"/>
      <c r="P3" s="209" t="s">
        <v>3</v>
      </c>
      <c r="Q3" s="210"/>
      <c r="R3" s="210"/>
      <c r="S3" s="207" t="s">
        <v>4</v>
      </c>
      <c r="T3" s="207" t="s">
        <v>5</v>
      </c>
      <c r="U3" s="207" t="s">
        <v>6</v>
      </c>
      <c r="V3" s="207"/>
    </row>
    <row r="4" spans="1:22" x14ac:dyDescent="0.3">
      <c r="B4" s="3" t="s">
        <v>7</v>
      </c>
      <c r="C4" s="3" t="s">
        <v>8</v>
      </c>
      <c r="D4" s="3" t="s">
        <v>9</v>
      </c>
      <c r="E4" s="207"/>
      <c r="F4" s="207"/>
      <c r="G4" s="4" t="s">
        <v>324</v>
      </c>
      <c r="H4" s="4" t="s">
        <v>10</v>
      </c>
      <c r="I4" s="3" t="s">
        <v>7</v>
      </c>
      <c r="J4" s="3" t="s">
        <v>8</v>
      </c>
      <c r="K4" s="3" t="s">
        <v>9</v>
      </c>
      <c r="L4" s="207"/>
      <c r="M4" s="207"/>
      <c r="N4" s="4" t="s">
        <v>324</v>
      </c>
      <c r="O4" s="4" t="s">
        <v>10</v>
      </c>
      <c r="P4" s="3" t="s">
        <v>7</v>
      </c>
      <c r="Q4" s="3" t="s">
        <v>8</v>
      </c>
      <c r="R4" s="3" t="s">
        <v>9</v>
      </c>
      <c r="S4" s="207"/>
      <c r="T4" s="207"/>
      <c r="U4" s="4" t="s">
        <v>324</v>
      </c>
      <c r="V4" s="4" t="s">
        <v>10</v>
      </c>
    </row>
    <row r="5" spans="1:22" x14ac:dyDescent="0.3">
      <c r="A5" t="s">
        <v>385</v>
      </c>
      <c r="B5" s="5">
        <v>0.182</v>
      </c>
      <c r="C5" s="5">
        <v>0.14000000000000001</v>
      </c>
      <c r="D5" s="5">
        <v>0.156</v>
      </c>
      <c r="E5" s="6">
        <f>(B5+C5+D5)/3</f>
        <v>0.15933333333333333</v>
      </c>
      <c r="F5" s="6">
        <f>(ABS(B5-E5)+ABS(C5-E5)+ABS(D5-E5))/3</f>
        <v>1.5111111111111103E-2</v>
      </c>
      <c r="G5" s="7" t="s">
        <v>11</v>
      </c>
      <c r="H5" s="7" t="s">
        <v>11</v>
      </c>
      <c r="I5" s="5">
        <v>0.105</v>
      </c>
      <c r="J5" s="5">
        <v>0.1358</v>
      </c>
      <c r="K5" s="5">
        <v>0.16500000000000001</v>
      </c>
      <c r="L5" s="6">
        <f>(I5+J5+K5)/3</f>
        <v>0.13526666666666667</v>
      </c>
      <c r="M5" s="6">
        <f>(ABS(I5-L5)+ABS(J5-L5)+ABS(K5-L5))/3</f>
        <v>2.0177777777777781E-2</v>
      </c>
      <c r="N5" s="7" t="s">
        <v>11</v>
      </c>
      <c r="O5" s="7" t="s">
        <v>11</v>
      </c>
      <c r="P5" s="5">
        <v>9.7999999999999997E-3</v>
      </c>
      <c r="Q5" s="5">
        <v>8.6999999999999994E-3</v>
      </c>
      <c r="R5" s="5">
        <v>7.4000000000000003E-3</v>
      </c>
      <c r="S5" s="6">
        <f>(P5+Q5+R5)/3</f>
        <v>8.6333333333333331E-3</v>
      </c>
      <c r="T5" s="6">
        <f>(ABS(P5-S5)+ABS(Q5-S5)+ABS(R5-S5))/3</f>
        <v>8.2222222222222191E-4</v>
      </c>
      <c r="U5" s="7" t="s">
        <v>11</v>
      </c>
      <c r="V5" s="7" t="s">
        <v>11</v>
      </c>
    </row>
    <row r="6" spans="1:22" x14ac:dyDescent="0.3">
      <c r="A6" t="s">
        <v>383</v>
      </c>
      <c r="B6" s="5">
        <v>0.61</v>
      </c>
      <c r="C6" s="5">
        <v>0.7</v>
      </c>
      <c r="D6" s="5">
        <v>0.71</v>
      </c>
      <c r="E6" s="6">
        <f>(B6+C6+D6)/3</f>
        <v>0.67333333333333334</v>
      </c>
      <c r="F6" s="6">
        <f>(ABS(B6-E6)+ABS(C6-E6)+ABS(D6-E6))/3</f>
        <v>4.2222222222222196E-2</v>
      </c>
      <c r="G6" s="6">
        <f>E6/E5</f>
        <v>4.2259414225941425</v>
      </c>
      <c r="H6" s="6">
        <f>E6/E$5</f>
        <v>4.2259414225941425</v>
      </c>
      <c r="I6" s="5">
        <v>0.44</v>
      </c>
      <c r="J6" s="5">
        <v>0.439</v>
      </c>
      <c r="K6" s="5">
        <v>0.46300000000000002</v>
      </c>
      <c r="L6" s="6">
        <f>(I6+J6+K6)/3</f>
        <v>0.44733333333333336</v>
      </c>
      <c r="M6" s="6">
        <f>(ABS(I6-L6)+ABS(J6-L6)+ABS(K6-L6))/3</f>
        <v>1.0444444444444459E-2</v>
      </c>
      <c r="N6" s="6">
        <f>L6/L5</f>
        <v>3.3070478068013802</v>
      </c>
      <c r="O6" s="6">
        <f>L6/L$5</f>
        <v>3.3070478068013802</v>
      </c>
      <c r="P6" s="5">
        <v>2.5000000000000001E-2</v>
      </c>
      <c r="Q6" s="5">
        <v>3.3000000000000002E-2</v>
      </c>
      <c r="R6" s="5">
        <v>2.7E-2</v>
      </c>
      <c r="S6" s="6">
        <f>(P6+Q6+R6)/3</f>
        <v>2.8333333333333335E-2</v>
      </c>
      <c r="T6" s="6">
        <f>(ABS(P6-S6)+ABS(Q6-S6)+ABS(R6-S6))/3</f>
        <v>3.1111111111111118E-3</v>
      </c>
      <c r="U6" s="6">
        <f>S6/S5</f>
        <v>3.281853281853282</v>
      </c>
      <c r="V6" s="6">
        <f>S6/S$5</f>
        <v>3.281853281853282</v>
      </c>
    </row>
    <row r="7" spans="1:22" x14ac:dyDescent="0.3">
      <c r="A7" t="s">
        <v>382</v>
      </c>
      <c r="B7" s="5">
        <v>1.42</v>
      </c>
      <c r="C7" s="5">
        <v>2.14</v>
      </c>
      <c r="D7" s="5">
        <v>2.13</v>
      </c>
      <c r="E7" s="6">
        <f>(B7+C7+D7)/3</f>
        <v>1.8966666666666665</v>
      </c>
      <c r="F7" s="6">
        <f>(ABS(B7-E7)+ABS(C7-E7)+ABS(D7-E7))/3</f>
        <v>0.31777777777777788</v>
      </c>
      <c r="G7" s="6">
        <f>E7/E6</f>
        <v>2.8168316831683167</v>
      </c>
      <c r="H7" s="6">
        <f>E7/E$5</f>
        <v>11.903765690376568</v>
      </c>
      <c r="I7" s="5">
        <v>1.3018000000000001</v>
      </c>
      <c r="J7" s="5">
        <v>1.2002999999999999</v>
      </c>
      <c r="K7" s="5">
        <v>1.1011</v>
      </c>
      <c r="L7" s="6">
        <f>(I7+J7+K7)/3</f>
        <v>1.2010666666666667</v>
      </c>
      <c r="M7" s="6">
        <f>(ABS(I7-L7)+ABS(J7-L7)+ABS(K7-L7))/3</f>
        <v>6.7155555555555635E-2</v>
      </c>
      <c r="N7" s="6">
        <f>L7/L6</f>
        <v>2.6849478390461998</v>
      </c>
      <c r="O7" s="6">
        <f>L7/L$5</f>
        <v>8.8792508624938389</v>
      </c>
      <c r="P7" s="5">
        <v>5.2999999999999999E-2</v>
      </c>
      <c r="Q7" s="5">
        <v>4.5999999999999999E-2</v>
      </c>
      <c r="R7" s="5">
        <v>6.7000000000000004E-2</v>
      </c>
      <c r="S7" s="6">
        <f>(P7+Q7+R7)/3</f>
        <v>5.5333333333333339E-2</v>
      </c>
      <c r="T7" s="6">
        <f>(ABS(P7-S7)+ABS(Q7-S7)+ABS(R7-S7))/3</f>
        <v>7.7777777777777819E-3</v>
      </c>
      <c r="U7" s="6">
        <f>S7/S6</f>
        <v>1.9529411764705882</v>
      </c>
      <c r="V7" s="6">
        <f>S7/S$5</f>
        <v>6.4092664092664098</v>
      </c>
    </row>
    <row r="8" spans="1:22" x14ac:dyDescent="0.3">
      <c r="A8" t="s">
        <v>384</v>
      </c>
      <c r="B8" s="5">
        <v>2.54</v>
      </c>
      <c r="C8" s="5">
        <v>2.39</v>
      </c>
      <c r="D8" s="5">
        <v>3.17</v>
      </c>
      <c r="E8" s="6">
        <f>(B8+C8+D8)/3</f>
        <v>2.6999999999999997</v>
      </c>
      <c r="F8" s="6">
        <f>(ABS(B8-E8)+ABS(C8-E8)+ABS(D8-E8))/3</f>
        <v>0.31333333333333319</v>
      </c>
      <c r="G8" s="6">
        <f>E8/E7</f>
        <v>1.4235500878734622</v>
      </c>
      <c r="H8" s="6">
        <f>E8/E$5</f>
        <v>16.94560669456067</v>
      </c>
      <c r="I8" s="5">
        <v>2.83</v>
      </c>
      <c r="J8" s="5">
        <v>2.4</v>
      </c>
      <c r="K8" s="5">
        <v>2.21</v>
      </c>
      <c r="L8" s="6">
        <f>(I8+J8+K8)/3</f>
        <v>2.48</v>
      </c>
      <c r="M8" s="6">
        <f>(ABS(I8-L8)+ABS(J8-L8)+ABS(K8-L8))/3</f>
        <v>0.23333333333333339</v>
      </c>
      <c r="N8" s="6">
        <f>L8/L7</f>
        <v>2.0648312611012432</v>
      </c>
      <c r="O8" s="6">
        <f>L8/L$5</f>
        <v>18.334154756037456</v>
      </c>
      <c r="P8" s="5">
        <v>0.127</v>
      </c>
      <c r="Q8" s="5">
        <v>8.77E-2</v>
      </c>
      <c r="R8" s="5">
        <v>0.115</v>
      </c>
      <c r="S8" s="6">
        <f>(P8+Q8+R8)/3</f>
        <v>0.1099</v>
      </c>
      <c r="T8" s="6">
        <f>(ABS(P8-S8)+ABS(Q8-S8)+ABS(R8-S8))/3</f>
        <v>1.4800000000000002E-2</v>
      </c>
      <c r="U8" s="6">
        <f>S8/S7</f>
        <v>1.9861445783132528</v>
      </c>
      <c r="V8" s="6">
        <f>S8/S$5</f>
        <v>12.72972972972973</v>
      </c>
    </row>
    <row r="9" spans="1:22" x14ac:dyDescent="0.3">
      <c r="T9" s="8"/>
    </row>
  </sheetData>
  <mergeCells count="15">
    <mergeCell ref="T3:T4"/>
    <mergeCell ref="U3:V3"/>
    <mergeCell ref="B2:F2"/>
    <mergeCell ref="I2:M2"/>
    <mergeCell ref="P2:T2"/>
    <mergeCell ref="B3:D3"/>
    <mergeCell ref="E3:E4"/>
    <mergeCell ref="F3:F4"/>
    <mergeCell ref="G3:H3"/>
    <mergeCell ref="I3:K3"/>
    <mergeCell ref="L3:L4"/>
    <mergeCell ref="M3:M4"/>
    <mergeCell ref="N3:O3"/>
    <mergeCell ref="P3:R3"/>
    <mergeCell ref="S3:S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A2" sqref="A2"/>
    </sheetView>
  </sheetViews>
  <sheetFormatPr defaultRowHeight="14.4" x14ac:dyDescent="0.3"/>
  <cols>
    <col min="1" max="1" width="27.44140625" bestFit="1" customWidth="1"/>
    <col min="2" max="4" width="10.44140625" bestFit="1" customWidth="1"/>
    <col min="9" max="11" width="10.44140625" bestFit="1" customWidth="1"/>
    <col min="16" max="18" width="10.44140625" bestFit="1" customWidth="1"/>
  </cols>
  <sheetData>
    <row r="1" spans="1:20" x14ac:dyDescent="0.3">
      <c r="A1" s="1" t="s">
        <v>391</v>
      </c>
    </row>
    <row r="2" spans="1:20" x14ac:dyDescent="0.3">
      <c r="B2" s="208" t="s">
        <v>0</v>
      </c>
      <c r="C2" s="208"/>
      <c r="D2" s="208"/>
      <c r="E2" s="208"/>
      <c r="F2" s="208"/>
      <c r="G2" s="2"/>
      <c r="H2" s="2"/>
      <c r="I2" s="208" t="s">
        <v>1</v>
      </c>
      <c r="J2" s="208"/>
      <c r="K2" s="208"/>
      <c r="L2" s="208"/>
      <c r="M2" s="208"/>
      <c r="N2" s="2"/>
      <c r="O2" s="2"/>
      <c r="P2" s="208" t="s">
        <v>2</v>
      </c>
      <c r="Q2" s="208"/>
      <c r="R2" s="208"/>
      <c r="S2" s="208"/>
      <c r="T2" s="208"/>
    </row>
    <row r="3" spans="1:20" x14ac:dyDescent="0.3">
      <c r="B3" s="209" t="s">
        <v>328</v>
      </c>
      <c r="C3" s="210"/>
      <c r="D3" s="210"/>
      <c r="E3" s="207" t="s">
        <v>4</v>
      </c>
      <c r="F3" s="207" t="s">
        <v>5</v>
      </c>
      <c r="G3" s="4"/>
      <c r="H3" s="4"/>
      <c r="I3" s="209" t="s">
        <v>328</v>
      </c>
      <c r="J3" s="210"/>
      <c r="K3" s="210"/>
      <c r="L3" s="207" t="s">
        <v>4</v>
      </c>
      <c r="M3" s="207" t="s">
        <v>5</v>
      </c>
      <c r="N3" s="4"/>
      <c r="O3" s="4"/>
      <c r="P3" s="209" t="s">
        <v>328</v>
      </c>
      <c r="Q3" s="210"/>
      <c r="R3" s="210"/>
      <c r="S3" s="207" t="s">
        <v>4</v>
      </c>
      <c r="T3" s="207" t="s">
        <v>5</v>
      </c>
    </row>
    <row r="4" spans="1:20" x14ac:dyDescent="0.3">
      <c r="B4" s="3" t="s">
        <v>7</v>
      </c>
      <c r="C4" s="3" t="s">
        <v>8</v>
      </c>
      <c r="D4" s="3" t="s">
        <v>9</v>
      </c>
      <c r="E4" s="207"/>
      <c r="F4" s="207"/>
      <c r="G4" s="4"/>
      <c r="H4" s="4"/>
      <c r="I4" s="3" t="s">
        <v>7</v>
      </c>
      <c r="J4" s="3" t="s">
        <v>8</v>
      </c>
      <c r="K4" s="3" t="s">
        <v>9</v>
      </c>
      <c r="L4" s="207"/>
      <c r="M4" s="207"/>
      <c r="N4" s="4"/>
      <c r="O4" s="4"/>
      <c r="P4" s="3" t="s">
        <v>7</v>
      </c>
      <c r="Q4" s="3" t="s">
        <v>8</v>
      </c>
      <c r="R4" s="3" t="s">
        <v>9</v>
      </c>
      <c r="S4" s="207"/>
      <c r="T4" s="207"/>
    </row>
    <row r="5" spans="1:20" x14ac:dyDescent="0.3">
      <c r="A5" t="s">
        <v>385</v>
      </c>
      <c r="B5" s="5">
        <v>0.112</v>
      </c>
      <c r="C5" s="5">
        <v>0.14000000000000001</v>
      </c>
      <c r="D5" s="5">
        <v>0.106</v>
      </c>
      <c r="E5" s="6">
        <f>(B5+C5+D5)/3</f>
        <v>0.11933333333333333</v>
      </c>
      <c r="F5" s="6">
        <f>(ABS(B5-E5)+ABS(C5-E5)+ABS(D5-E5))/3</f>
        <v>1.3777777777777783E-2</v>
      </c>
      <c r="G5" s="6"/>
      <c r="H5" s="6"/>
      <c r="I5" s="5">
        <v>0.17100000000000001</v>
      </c>
      <c r="J5" s="5">
        <v>9.8000000000000004E-2</v>
      </c>
      <c r="K5" s="5">
        <v>0.13900000000000001</v>
      </c>
      <c r="L5" s="6">
        <f>(I5+J5+K5)/3</f>
        <v>0.13600000000000001</v>
      </c>
      <c r="M5" s="6">
        <f>(ABS(I5-L5)+ABS(J5-' Fig. 2c '!L51)+ABS(K5-L5))/3</f>
        <v>4.5333333333333337E-2</v>
      </c>
      <c r="N5" s="6"/>
      <c r="O5" s="6"/>
      <c r="P5" s="5">
        <v>0.38</v>
      </c>
      <c r="Q5" s="5">
        <v>0.17</v>
      </c>
      <c r="R5" s="5">
        <v>0.24</v>
      </c>
      <c r="S5" s="6">
        <f>(P5+Q5+R5)/3</f>
        <v>0.26333333333333336</v>
      </c>
      <c r="T5" s="6">
        <f>(ABS(P5-S5)+ABS(Q5-S5)+ABS(R5-S5))/3</f>
        <v>7.7777777777777793E-2</v>
      </c>
    </row>
    <row r="6" spans="1:20" x14ac:dyDescent="0.3">
      <c r="A6" t="s">
        <v>383</v>
      </c>
      <c r="B6" s="5">
        <v>0.75</v>
      </c>
      <c r="C6" s="5">
        <v>0.75</v>
      </c>
      <c r="D6" s="5">
        <v>0.82</v>
      </c>
      <c r="E6" s="6">
        <f>(B6+C6+D6)/3</f>
        <v>0.77333333333333332</v>
      </c>
      <c r="F6" s="6">
        <f>(ABS(B6-E6)+ABS(C6-E6)+ABS(D6-E6))/3</f>
        <v>3.1111111111111089E-2</v>
      </c>
      <c r="G6" s="6"/>
      <c r="H6" s="6"/>
      <c r="I6" s="5">
        <v>0.95199999999999996</v>
      </c>
      <c r="J6" s="5">
        <v>0.68899999999999995</v>
      </c>
      <c r="K6" s="5">
        <v>0.82499999999999996</v>
      </c>
      <c r="L6" s="6">
        <f>(I6+J6+K6)/3</f>
        <v>0.82200000000000006</v>
      </c>
      <c r="M6" s="6">
        <f>(ABS(I6-L6)+ABS(J6-' Fig. 2c '!L52)+ABS(K6-L6))/3</f>
        <v>0.27399999999999991</v>
      </c>
      <c r="N6" s="6"/>
      <c r="O6" s="6"/>
      <c r="P6" s="5">
        <v>1.35</v>
      </c>
      <c r="Q6" s="5">
        <v>1.1299999999999999</v>
      </c>
      <c r="R6" s="5">
        <v>1.75</v>
      </c>
      <c r="S6" s="6">
        <f>(P6+Q6+R6)/3</f>
        <v>1.4100000000000001</v>
      </c>
      <c r="T6" s="6">
        <f>(ABS(P6-S6)+ABS(Q6-S6)+ABS(R6-S6))/3</f>
        <v>0.22666666666666671</v>
      </c>
    </row>
    <row r="7" spans="1:20" x14ac:dyDescent="0.3">
      <c r="A7" t="s">
        <v>382</v>
      </c>
      <c r="B7" s="5">
        <v>1.3</v>
      </c>
      <c r="C7" s="5">
        <v>1.66</v>
      </c>
      <c r="D7" s="5">
        <v>1.53</v>
      </c>
      <c r="E7" s="6">
        <f>(B7+C7+D7)/3</f>
        <v>1.4966666666666668</v>
      </c>
      <c r="F7" s="6">
        <f>(ABS(B7-E7)+ABS(C7-E7)+ABS(D7-E7))/3</f>
        <v>0.13111111111111104</v>
      </c>
      <c r="G7" s="6"/>
      <c r="H7" s="6"/>
      <c r="I7" s="5">
        <v>0.82199999999999995</v>
      </c>
      <c r="J7" s="5">
        <v>1.4239999999999999</v>
      </c>
      <c r="K7" s="5">
        <v>1.125</v>
      </c>
      <c r="L7" s="6">
        <f>(I7+J7+K7)/3</f>
        <v>1.1236666666666666</v>
      </c>
      <c r="M7" s="6">
        <f>(ABS(I7-L7)+ABS(J7-' Fig. 2c '!L53)+ABS(K7-L7))/3</f>
        <v>0.57566666666666666</v>
      </c>
      <c r="N7" s="6"/>
      <c r="O7" s="6"/>
      <c r="P7" s="5">
        <v>4.0599999999999996</v>
      </c>
      <c r="Q7" s="5">
        <v>3.23</v>
      </c>
      <c r="R7" s="5">
        <v>3.87</v>
      </c>
      <c r="S7" s="6">
        <f>(P7+Q7+R7)/3</f>
        <v>3.72</v>
      </c>
      <c r="T7" s="6">
        <f>(ABS(P7-S7)+ABS(Q7-S7)+ABS(R7-S7))/3</f>
        <v>0.32666666666666649</v>
      </c>
    </row>
    <row r="8" spans="1:20" x14ac:dyDescent="0.3">
      <c r="A8" t="s">
        <v>384</v>
      </c>
      <c r="B8" s="5">
        <v>2.74</v>
      </c>
      <c r="C8" s="5">
        <v>2.64</v>
      </c>
      <c r="D8" s="5">
        <v>3.19</v>
      </c>
      <c r="E8" s="6">
        <f>(B8+C8+D8)/3</f>
        <v>2.8566666666666669</v>
      </c>
      <c r="F8" s="6">
        <f>(ABS(B8-E8)+ABS(C8-E8)+ABS(D8-E8))/3</f>
        <v>0.22222222222222218</v>
      </c>
      <c r="G8" s="6"/>
      <c r="H8" s="6"/>
      <c r="I8" s="5">
        <v>2.83</v>
      </c>
      <c r="J8" s="5">
        <v>3.004</v>
      </c>
      <c r="K8" s="5">
        <v>1.49</v>
      </c>
      <c r="L8" s="6">
        <f>(I8+J8+K8)/3</f>
        <v>2.4413333333333331</v>
      </c>
      <c r="M8" s="6">
        <f>(ABS(I8-L8)+ABS(J8-' Fig. 2c '!L54)+ABS(K8-L8))/3</f>
        <v>1.4480000000000002</v>
      </c>
      <c r="N8" s="6"/>
      <c r="O8" s="6"/>
      <c r="P8" s="5">
        <v>4.01</v>
      </c>
      <c r="Q8" s="5">
        <v>5.31</v>
      </c>
      <c r="R8" s="5">
        <v>4.0599999999999996</v>
      </c>
      <c r="S8" s="6">
        <f>(P8+Q8+R8)/3</f>
        <v>4.46</v>
      </c>
      <c r="T8" s="6">
        <f>(ABS(P8-S8)+ABS(Q8-S8)+ABS(R8-S8))/3</f>
        <v>0.56666666666666676</v>
      </c>
    </row>
  </sheetData>
  <mergeCells count="12">
    <mergeCell ref="P3:R3"/>
    <mergeCell ref="S3:S4"/>
    <mergeCell ref="T3:T4"/>
    <mergeCell ref="B2:F2"/>
    <mergeCell ref="I2:M2"/>
    <mergeCell ref="P2:T2"/>
    <mergeCell ref="M3:M4"/>
    <mergeCell ref="B3:D3"/>
    <mergeCell ref="E3:E4"/>
    <mergeCell ref="F3:F4"/>
    <mergeCell ref="I3:K3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defaultRowHeight="14.4" x14ac:dyDescent="0.3"/>
  <cols>
    <col min="1" max="1" width="9.6640625" bestFit="1" customWidth="1"/>
    <col min="2" max="2" width="10.88671875" bestFit="1" customWidth="1"/>
    <col min="3" max="5" width="10.44140625" bestFit="1" customWidth="1"/>
    <col min="8" max="10" width="10.44140625" bestFit="1" customWidth="1"/>
  </cols>
  <sheetData>
    <row r="1" spans="1:12" x14ac:dyDescent="0.3">
      <c r="A1" s="1" t="s">
        <v>362</v>
      </c>
      <c r="B1" s="1"/>
    </row>
    <row r="2" spans="1:12" x14ac:dyDescent="0.3">
      <c r="A2" s="1"/>
      <c r="B2" s="1"/>
      <c r="C2" s="208" t="s">
        <v>12</v>
      </c>
      <c r="D2" s="208"/>
      <c r="E2" s="208"/>
      <c r="F2" s="208"/>
      <c r="G2" s="208"/>
      <c r="H2" s="208" t="s">
        <v>13</v>
      </c>
      <c r="I2" s="208"/>
      <c r="J2" s="208"/>
      <c r="K2" s="208"/>
      <c r="L2" s="208"/>
    </row>
    <row r="3" spans="1:12" x14ac:dyDescent="0.3">
      <c r="A3" s="1"/>
      <c r="B3" s="1"/>
      <c r="C3" s="209" t="s">
        <v>3</v>
      </c>
      <c r="D3" s="209"/>
      <c r="E3" s="209"/>
      <c r="F3" s="207" t="s">
        <v>4</v>
      </c>
      <c r="G3" s="207" t="s">
        <v>5</v>
      </c>
      <c r="H3" s="209" t="s">
        <v>3</v>
      </c>
      <c r="I3" s="209"/>
      <c r="J3" s="209"/>
      <c r="K3" s="207" t="s">
        <v>4</v>
      </c>
      <c r="L3" s="207" t="s">
        <v>5</v>
      </c>
    </row>
    <row r="4" spans="1:12" x14ac:dyDescent="0.3">
      <c r="C4" s="3" t="s">
        <v>7</v>
      </c>
      <c r="D4" s="3" t="s">
        <v>8</v>
      </c>
      <c r="E4" s="3" t="s">
        <v>9</v>
      </c>
      <c r="F4" s="207"/>
      <c r="G4" s="207"/>
      <c r="H4" s="3" t="s">
        <v>7</v>
      </c>
      <c r="I4" s="3" t="s">
        <v>8</v>
      </c>
      <c r="J4" s="3" t="s">
        <v>9</v>
      </c>
      <c r="K4" s="207"/>
      <c r="L4" s="207"/>
    </row>
    <row r="5" spans="1:12" x14ac:dyDescent="0.3">
      <c r="B5" t="s">
        <v>14</v>
      </c>
      <c r="C5" s="9">
        <v>18.309999999999999</v>
      </c>
      <c r="D5" s="9">
        <v>24.31</v>
      </c>
      <c r="E5" s="9">
        <v>19.14</v>
      </c>
      <c r="F5" s="10">
        <f t="shared" ref="F5" si="0">(C5+D5+E5)/3</f>
        <v>20.586666666666666</v>
      </c>
      <c r="G5" s="10">
        <f t="shared" ref="G5" si="1">(ABS(C5-F5)+ABS(D5-F5)+ABS(E5-F5))/3</f>
        <v>2.4822222222222217</v>
      </c>
      <c r="H5" s="9">
        <v>23.71</v>
      </c>
      <c r="I5" s="9">
        <v>36.01</v>
      </c>
      <c r="J5" s="9">
        <v>32.24</v>
      </c>
      <c r="K5" s="10">
        <f t="shared" ref="K5" si="2">(H5+I5+J5)/3</f>
        <v>30.653333333333336</v>
      </c>
      <c r="L5" s="10">
        <f t="shared" ref="L5" si="3">(ABS(H5-K5)+ABS(I5-K5)+ABS(J5-K5))/3</f>
        <v>4.6288888888888877</v>
      </c>
    </row>
    <row r="6" spans="1:12" x14ac:dyDescent="0.3">
      <c r="A6" s="1"/>
      <c r="B6" s="11"/>
      <c r="C6" s="9"/>
      <c r="D6" s="9"/>
      <c r="E6" s="9"/>
      <c r="F6" s="10"/>
      <c r="G6" s="10"/>
      <c r="H6" s="9"/>
      <c r="I6" s="9"/>
      <c r="J6" s="9"/>
      <c r="K6" s="10"/>
      <c r="L6" s="10"/>
    </row>
    <row r="7" spans="1:12" x14ac:dyDescent="0.3">
      <c r="A7" s="1"/>
      <c r="C7" s="9"/>
      <c r="D7" s="9"/>
      <c r="E7" s="9"/>
      <c r="F7" s="10"/>
      <c r="G7" s="10"/>
      <c r="H7" s="9"/>
      <c r="I7" s="9"/>
      <c r="J7" s="9"/>
      <c r="K7" s="10"/>
      <c r="L7" s="10"/>
    </row>
    <row r="8" spans="1:12" x14ac:dyDescent="0.3">
      <c r="A8" s="1"/>
      <c r="C8" s="9"/>
      <c r="D8" s="9"/>
      <c r="E8" s="9"/>
      <c r="F8" s="10"/>
      <c r="G8" s="10"/>
      <c r="H8" s="9"/>
      <c r="I8" s="9"/>
      <c r="J8" s="9"/>
      <c r="K8" s="10"/>
      <c r="L8" s="10"/>
    </row>
    <row r="9" spans="1:12" x14ac:dyDescent="0.3">
      <c r="A9" s="1"/>
      <c r="C9" s="9"/>
      <c r="D9" s="9"/>
      <c r="E9" s="9"/>
      <c r="F9" s="10"/>
      <c r="G9" s="10"/>
      <c r="H9" s="9"/>
      <c r="I9" s="9"/>
      <c r="J9" s="9"/>
      <c r="K9" s="10"/>
      <c r="L9" s="10"/>
    </row>
    <row r="10" spans="1:12" x14ac:dyDescent="0.3">
      <c r="A10" s="1"/>
      <c r="C10" s="9"/>
      <c r="D10" s="9"/>
      <c r="E10" s="9"/>
      <c r="F10" s="10"/>
      <c r="G10" s="10"/>
      <c r="H10" s="9"/>
      <c r="I10" s="9"/>
      <c r="J10" s="9"/>
      <c r="K10" s="10"/>
      <c r="L10" s="10"/>
    </row>
  </sheetData>
  <mergeCells count="8">
    <mergeCell ref="C2:G2"/>
    <mergeCell ref="H2:L2"/>
    <mergeCell ref="C3:E3"/>
    <mergeCell ref="F3:F4"/>
    <mergeCell ref="G3:G4"/>
    <mergeCell ref="H3:J3"/>
    <mergeCell ref="K3:K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defaultRowHeight="14.4" x14ac:dyDescent="0.3"/>
  <cols>
    <col min="3" max="5" width="10.44140625" bestFit="1" customWidth="1"/>
    <col min="8" max="10" width="10.44140625" bestFit="1" customWidth="1"/>
  </cols>
  <sheetData>
    <row r="1" spans="1:12" x14ac:dyDescent="0.3">
      <c r="A1" s="1" t="s">
        <v>361</v>
      </c>
    </row>
    <row r="2" spans="1:12" x14ac:dyDescent="0.3">
      <c r="A2" s="1"/>
      <c r="B2" s="1"/>
      <c r="C2" s="208" t="s">
        <v>12</v>
      </c>
      <c r="D2" s="208"/>
      <c r="E2" s="208"/>
      <c r="F2" s="208"/>
      <c r="G2" s="208"/>
      <c r="H2" s="208" t="s">
        <v>13</v>
      </c>
      <c r="I2" s="208"/>
      <c r="J2" s="208"/>
      <c r="K2" s="208"/>
      <c r="L2" s="208"/>
    </row>
    <row r="3" spans="1:12" x14ac:dyDescent="0.3">
      <c r="A3" s="1"/>
      <c r="B3" s="1"/>
      <c r="C3" s="209" t="s">
        <v>3</v>
      </c>
      <c r="D3" s="209"/>
      <c r="E3" s="209"/>
      <c r="F3" s="207" t="s">
        <v>4</v>
      </c>
      <c r="G3" s="207" t="s">
        <v>5</v>
      </c>
      <c r="H3" s="209" t="s">
        <v>3</v>
      </c>
      <c r="I3" s="209"/>
      <c r="J3" s="209"/>
      <c r="K3" s="207" t="s">
        <v>4</v>
      </c>
      <c r="L3" s="207" t="s">
        <v>5</v>
      </c>
    </row>
    <row r="4" spans="1:12" x14ac:dyDescent="0.3">
      <c r="C4" s="165" t="s">
        <v>7</v>
      </c>
      <c r="D4" s="165" t="s">
        <v>8</v>
      </c>
      <c r="E4" s="165" t="s">
        <v>9</v>
      </c>
      <c r="F4" s="207"/>
      <c r="G4" s="207"/>
      <c r="H4" s="165" t="s">
        <v>7</v>
      </c>
      <c r="I4" s="165" t="s">
        <v>8</v>
      </c>
      <c r="J4" s="165" t="s">
        <v>9</v>
      </c>
      <c r="K4" s="207"/>
      <c r="L4" s="207"/>
    </row>
    <row r="5" spans="1:12" x14ac:dyDescent="0.3">
      <c r="B5" s="11" t="s">
        <v>15</v>
      </c>
      <c r="C5" s="9">
        <v>7.5578000000000003</v>
      </c>
      <c r="D5" s="9">
        <v>10.133600000000001</v>
      </c>
      <c r="E5" s="9">
        <v>10.865</v>
      </c>
      <c r="F5" s="10">
        <f t="shared" ref="F5" si="0">(C5+D5+E5)/3</f>
        <v>9.5188000000000006</v>
      </c>
      <c r="G5" s="10">
        <f t="shared" ref="G5" si="1">(ABS(C5-F5)+ABS(D5-F5)+ABS(E5-F5))/3</f>
        <v>1.3073333333333335</v>
      </c>
      <c r="H5" s="9">
        <v>29.42</v>
      </c>
      <c r="I5" s="9">
        <v>19.309999999999999</v>
      </c>
      <c r="J5" s="9">
        <v>25.06</v>
      </c>
      <c r="K5" s="10">
        <f t="shared" ref="K5" si="2">(H5+I5+J5)/3</f>
        <v>24.596666666666668</v>
      </c>
      <c r="L5" s="10">
        <f t="shared" ref="L5" si="3">(ABS(H5-K5)+ABS(I5-K5)+ABS(J5-K5))/3</f>
        <v>3.5244444444444447</v>
      </c>
    </row>
    <row r="6" spans="1:12" x14ac:dyDescent="0.3">
      <c r="A6" s="1"/>
      <c r="C6" s="9"/>
      <c r="D6" s="9"/>
      <c r="E6" s="9"/>
      <c r="F6" s="10"/>
      <c r="G6" s="10"/>
      <c r="H6" s="9"/>
      <c r="I6" s="9"/>
      <c r="J6" s="9"/>
      <c r="K6" s="10"/>
      <c r="L6" s="10"/>
    </row>
    <row r="7" spans="1:12" x14ac:dyDescent="0.3">
      <c r="A7" s="1"/>
      <c r="C7" s="9"/>
      <c r="D7" s="9"/>
      <c r="E7" s="9"/>
      <c r="F7" s="10"/>
      <c r="G7" s="10"/>
      <c r="H7" s="9"/>
      <c r="I7" s="9"/>
      <c r="J7" s="9"/>
      <c r="K7" s="10"/>
      <c r="L7" s="10"/>
    </row>
    <row r="8" spans="1:12" x14ac:dyDescent="0.3">
      <c r="A8" s="1"/>
      <c r="C8" s="9"/>
      <c r="D8" s="9"/>
      <c r="E8" s="9"/>
      <c r="F8" s="10"/>
      <c r="G8" s="10"/>
      <c r="H8" s="9"/>
      <c r="I8" s="9"/>
      <c r="J8" s="9"/>
      <c r="K8" s="10"/>
      <c r="L8" s="10"/>
    </row>
    <row r="9" spans="1:12" x14ac:dyDescent="0.3">
      <c r="A9" s="1"/>
      <c r="C9" s="9"/>
      <c r="D9" s="9"/>
      <c r="E9" s="9"/>
      <c r="F9" s="10"/>
      <c r="G9" s="10"/>
      <c r="H9" s="9"/>
      <c r="I9" s="9"/>
      <c r="J9" s="9"/>
      <c r="K9" s="10"/>
      <c r="L9" s="10"/>
    </row>
  </sheetData>
  <mergeCells count="8">
    <mergeCell ref="C2:G2"/>
    <mergeCell ref="H2:L2"/>
    <mergeCell ref="C3:E3"/>
    <mergeCell ref="F3:F4"/>
    <mergeCell ref="G3:G4"/>
    <mergeCell ref="H3:J3"/>
    <mergeCell ref="K3:K4"/>
    <mergeCell ref="L3:L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/>
  </sheetViews>
  <sheetFormatPr defaultRowHeight="14.4" x14ac:dyDescent="0.3"/>
  <cols>
    <col min="3" max="5" width="10.44140625" bestFit="1" customWidth="1"/>
    <col min="8" max="10" width="10.44140625" bestFit="1" customWidth="1"/>
  </cols>
  <sheetData>
    <row r="1" spans="1:12" x14ac:dyDescent="0.3">
      <c r="A1" s="1" t="s">
        <v>360</v>
      </c>
    </row>
    <row r="2" spans="1:12" x14ac:dyDescent="0.3">
      <c r="A2" s="1"/>
      <c r="B2" s="1"/>
      <c r="C2" s="208" t="s">
        <v>12</v>
      </c>
      <c r="D2" s="208"/>
      <c r="E2" s="208"/>
      <c r="F2" s="208"/>
      <c r="G2" s="208"/>
      <c r="H2" s="208" t="s">
        <v>13</v>
      </c>
      <c r="I2" s="208"/>
      <c r="J2" s="208"/>
      <c r="K2" s="208"/>
      <c r="L2" s="208"/>
    </row>
    <row r="3" spans="1:12" x14ac:dyDescent="0.3">
      <c r="A3" s="1"/>
      <c r="B3" s="1"/>
      <c r="C3" s="209" t="s">
        <v>3</v>
      </c>
      <c r="D3" s="209"/>
      <c r="E3" s="209"/>
      <c r="F3" s="207" t="s">
        <v>4</v>
      </c>
      <c r="G3" s="207" t="s">
        <v>5</v>
      </c>
      <c r="H3" s="209" t="s">
        <v>3</v>
      </c>
      <c r="I3" s="209"/>
      <c r="J3" s="209"/>
      <c r="K3" s="207" t="s">
        <v>4</v>
      </c>
      <c r="L3" s="207" t="s">
        <v>5</v>
      </c>
    </row>
    <row r="4" spans="1:12" x14ac:dyDescent="0.3">
      <c r="C4" s="165" t="s">
        <v>7</v>
      </c>
      <c r="D4" s="165" t="s">
        <v>8</v>
      </c>
      <c r="E4" s="165" t="s">
        <v>9</v>
      </c>
      <c r="F4" s="207"/>
      <c r="G4" s="207"/>
      <c r="H4" s="165" t="s">
        <v>7</v>
      </c>
      <c r="I4" s="165" t="s">
        <v>8</v>
      </c>
      <c r="J4" s="165" t="s">
        <v>9</v>
      </c>
      <c r="K4" s="207"/>
      <c r="L4" s="207"/>
    </row>
    <row r="5" spans="1:12" x14ac:dyDescent="0.3">
      <c r="B5" t="s">
        <v>16</v>
      </c>
      <c r="C5" s="9">
        <v>24.36</v>
      </c>
      <c r="D5" s="9">
        <v>28.13</v>
      </c>
      <c r="E5" s="9">
        <v>31.44</v>
      </c>
      <c r="F5" s="10">
        <f t="shared" ref="F5" si="0">(C5+D5+E5)/3</f>
        <v>27.976666666666663</v>
      </c>
      <c r="G5" s="10">
        <f t="shared" ref="G5" si="1">(ABS(C5-F5)+ABS(D5-F5)+ABS(E5-F5))/3</f>
        <v>2.4111111111111128</v>
      </c>
      <c r="H5" s="9">
        <v>53.314199999999992</v>
      </c>
      <c r="I5" s="9">
        <v>73.912500000000009</v>
      </c>
      <c r="J5" s="9">
        <v>66.695400000000006</v>
      </c>
      <c r="K5" s="10">
        <f t="shared" ref="K5" si="2">(H5+I5+J5)/3</f>
        <v>64.640699999999995</v>
      </c>
      <c r="L5" s="10">
        <f t="shared" ref="L5" si="3">(ABS(H5-K5)+ABS(I5-K5)+ABS(J5-K5))/3</f>
        <v>7.551000000000009</v>
      </c>
    </row>
  </sheetData>
  <mergeCells count="8">
    <mergeCell ref="C2:G2"/>
    <mergeCell ref="H2:L2"/>
    <mergeCell ref="C3:E3"/>
    <mergeCell ref="F3:F4"/>
    <mergeCell ref="G3:G4"/>
    <mergeCell ref="H3:J3"/>
    <mergeCell ref="K3:K4"/>
    <mergeCell ref="L3:L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/>
  </sheetViews>
  <sheetFormatPr defaultRowHeight="14.4" x14ac:dyDescent="0.3"/>
  <cols>
    <col min="3" max="5" width="10.44140625" bestFit="1" customWidth="1"/>
    <col min="8" max="10" width="10.44140625" bestFit="1" customWidth="1"/>
  </cols>
  <sheetData>
    <row r="1" spans="1:12" x14ac:dyDescent="0.3">
      <c r="A1" s="1" t="s">
        <v>359</v>
      </c>
    </row>
    <row r="2" spans="1:12" x14ac:dyDescent="0.3">
      <c r="A2" s="1"/>
      <c r="B2" s="1"/>
      <c r="C2" s="208" t="s">
        <v>12</v>
      </c>
      <c r="D2" s="208"/>
      <c r="E2" s="208"/>
      <c r="F2" s="208"/>
      <c r="G2" s="208"/>
      <c r="H2" s="208" t="s">
        <v>13</v>
      </c>
      <c r="I2" s="208"/>
      <c r="J2" s="208"/>
      <c r="K2" s="208"/>
      <c r="L2" s="208"/>
    </row>
    <row r="3" spans="1:12" x14ac:dyDescent="0.3">
      <c r="A3" s="1"/>
      <c r="B3" s="1"/>
      <c r="C3" s="209" t="s">
        <v>3</v>
      </c>
      <c r="D3" s="209"/>
      <c r="E3" s="209"/>
      <c r="F3" s="207" t="s">
        <v>4</v>
      </c>
      <c r="G3" s="207" t="s">
        <v>5</v>
      </c>
      <c r="H3" s="209" t="s">
        <v>3</v>
      </c>
      <c r="I3" s="209"/>
      <c r="J3" s="209"/>
      <c r="K3" s="207" t="s">
        <v>4</v>
      </c>
      <c r="L3" s="207" t="s">
        <v>5</v>
      </c>
    </row>
    <row r="4" spans="1:12" x14ac:dyDescent="0.3">
      <c r="C4" s="165" t="s">
        <v>7</v>
      </c>
      <c r="D4" s="165" t="s">
        <v>8</v>
      </c>
      <c r="E4" s="165" t="s">
        <v>9</v>
      </c>
      <c r="F4" s="207"/>
      <c r="G4" s="207"/>
      <c r="H4" s="165" t="s">
        <v>7</v>
      </c>
      <c r="I4" s="165" t="s">
        <v>8</v>
      </c>
      <c r="J4" s="165" t="s">
        <v>9</v>
      </c>
      <c r="K4" s="207"/>
      <c r="L4" s="207"/>
    </row>
    <row r="5" spans="1:12" x14ac:dyDescent="0.3">
      <c r="B5" t="s">
        <v>17</v>
      </c>
      <c r="C5" s="9">
        <v>10.175000000000001</v>
      </c>
      <c r="D5" s="9">
        <v>14.217499999999999</v>
      </c>
      <c r="E5" s="9">
        <v>17.1188</v>
      </c>
      <c r="F5" s="10">
        <f t="shared" ref="F5" si="0">(C5+D5+E5)/3</f>
        <v>13.8371</v>
      </c>
      <c r="G5" s="10">
        <f t="shared" ref="G5" si="1">(ABS(C5-F5)+ABS(D5-F5)+ABS(E5-F5))/3</f>
        <v>2.4413999999999998</v>
      </c>
      <c r="H5" s="9">
        <v>12.54</v>
      </c>
      <c r="I5" s="9">
        <v>24.82</v>
      </c>
      <c r="J5" s="9">
        <v>21.61</v>
      </c>
      <c r="K5" s="10">
        <f t="shared" ref="K5" si="2">(H5+I5+J5)/3</f>
        <v>19.656666666666666</v>
      </c>
      <c r="L5" s="10">
        <f t="shared" ref="L5" si="3">(ABS(H5-K5)+ABS(I5-K5)+ABS(J5-K5))/3</f>
        <v>4.7444444444444445</v>
      </c>
    </row>
  </sheetData>
  <mergeCells count="8">
    <mergeCell ref="C2:G2"/>
    <mergeCell ref="H2:L2"/>
    <mergeCell ref="C3:E3"/>
    <mergeCell ref="F3:F4"/>
    <mergeCell ref="G3:G4"/>
    <mergeCell ref="H3:J3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Table 1</vt:lpstr>
      <vt:lpstr>Table 2</vt:lpstr>
      <vt:lpstr>Table 3</vt:lpstr>
      <vt:lpstr> Fig. 2c </vt:lpstr>
      <vt:lpstr>Fig. 2d</vt:lpstr>
      <vt:lpstr>Figure 3a</vt:lpstr>
      <vt:lpstr>Figure 3b</vt:lpstr>
      <vt:lpstr>Figure 3c</vt:lpstr>
      <vt:lpstr>Figure 3d</vt:lpstr>
      <vt:lpstr>Figure 3e</vt:lpstr>
      <vt:lpstr>Figure 4a</vt:lpstr>
      <vt:lpstr>Figure 5a</vt:lpstr>
      <vt:lpstr>Figure 5b</vt:lpstr>
      <vt:lpstr>Figure 5c</vt:lpstr>
      <vt:lpstr>Figure 5d</vt:lpstr>
      <vt:lpstr>Figure 5g</vt:lpstr>
      <vt:lpstr>Supplementary Table 2</vt:lpstr>
      <vt:lpstr>Supplementary Table 3</vt:lpstr>
      <vt:lpstr>Supplementary Table 4</vt:lpstr>
      <vt:lpstr>Supplementary Table 5</vt:lpstr>
      <vt:lpstr>Supplementary Table 6</vt:lpstr>
      <vt:lpstr>Supplementary Table 8</vt:lpstr>
      <vt:lpstr>Supplementary Figure 1</vt:lpstr>
      <vt:lpstr>Supplementary Figure 2 </vt:lpstr>
      <vt:lpstr>Supplementary Figure 3a</vt:lpstr>
      <vt:lpstr>Supplementary Figure 3b</vt:lpstr>
      <vt:lpstr>Supplementary Figure 4a</vt:lpstr>
      <vt:lpstr>Supplementary Figure 4b</vt:lpstr>
      <vt:lpstr>Supplementary Figure 6</vt:lpstr>
      <vt:lpstr>Supplementary Figure 7</vt:lpstr>
      <vt:lpstr> Supplementary Figure 8a</vt:lpstr>
      <vt:lpstr>Supplementary figure 8b</vt:lpstr>
      <vt:lpstr>Supplementary Figure 10a</vt:lpstr>
      <vt:lpstr>Supplementary Figure 10b</vt:lpstr>
      <vt:lpstr>Supplementary Figure 12a</vt:lpstr>
      <vt:lpstr>Supplementary Figure 12b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Codruta Ignea</dc:creator>
  <cp:lastModifiedBy>An, Chuanfu, Nature</cp:lastModifiedBy>
  <dcterms:created xsi:type="dcterms:W3CDTF">2019-03-17T17:01:43Z</dcterms:created>
  <dcterms:modified xsi:type="dcterms:W3CDTF">2019-07-02T21:28:56Z</dcterms:modified>
</cp:coreProperties>
</file>