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wsd-my.sharepoint.com/personal/s-ppolner_lwsd_org/Documents/"/>
    </mc:Choice>
  </mc:AlternateContent>
  <xr:revisionPtr revIDLastSave="0" documentId="8_{EF170188-18C8-47FC-B2F6-D33582ACC009}" xr6:coauthVersionLast="47" xr6:coauthVersionMax="47" xr10:uidLastSave="{00000000-0000-0000-0000-000000000000}"/>
  <bookViews>
    <workbookView minimized="1" xWindow="7665" yWindow="4215" windowWidth="17190" windowHeight="11385" xr2:uid="{C444D5CF-B39C-46C8-84DB-05CE2F5BC1A8}"/>
  </bookViews>
  <sheets>
    <sheet name="Manufacturing Data" sheetId="1" r:id="rId1"/>
  </sheets>
  <definedNames>
    <definedName name="_xlchart.v1.0" hidden="1">'Manufacturing Data'!$G$3:$G$27</definedName>
    <definedName name="_xlchart.v1.1" hidden="1">'Manufacturing Data'!$L$3:$L$27</definedName>
    <definedName name="_xlchart.v1.2" hidden="1">'Manufacturing Data'!$Q$3:$Q$27</definedName>
    <definedName name="_xlchart.v1.3" hidden="1">'Manufacturing Data'!$H$3:$H$27</definedName>
    <definedName name="_xlchart.v1.4" hidden="1">'Manufacturing Data'!$M$3:$M$27</definedName>
    <definedName name="_xlchart.v1.5" hidden="1">'Manufacturing Data'!$R$3:$R$27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B10" i="1"/>
  <c r="B8" i="1"/>
  <c r="C8" i="1"/>
  <c r="C12" i="1"/>
  <c r="B12" i="1"/>
  <c r="C11" i="1"/>
  <c r="B11" i="1"/>
  <c r="B7" i="1"/>
  <c r="C7" i="1"/>
  <c r="P28" i="1"/>
  <c r="Q28" i="1"/>
  <c r="R28" i="1"/>
  <c r="O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O33" i="1"/>
  <c r="O32" i="1"/>
  <c r="O31" i="1"/>
  <c r="O30" i="1"/>
  <c r="O29" i="1"/>
  <c r="E31" i="1"/>
  <c r="F33" i="1"/>
  <c r="G33" i="1"/>
  <c r="H33" i="1"/>
  <c r="E33" i="1"/>
  <c r="F32" i="1"/>
  <c r="G32" i="1"/>
  <c r="H32" i="1"/>
  <c r="E32" i="1"/>
  <c r="F31" i="1"/>
  <c r="G31" i="1"/>
  <c r="H31" i="1"/>
  <c r="F30" i="1"/>
  <c r="G30" i="1"/>
  <c r="H30" i="1"/>
  <c r="E30" i="1"/>
  <c r="F29" i="1"/>
  <c r="G29" i="1"/>
  <c r="H29" i="1"/>
  <c r="E29" i="1"/>
  <c r="F28" i="1"/>
  <c r="G28" i="1"/>
  <c r="H28" i="1"/>
  <c r="E28" i="1"/>
  <c r="J28" i="1"/>
  <c r="J30" i="1"/>
  <c r="J31" i="1"/>
  <c r="J32" i="1"/>
  <c r="J29" i="1"/>
  <c r="J33" i="1"/>
  <c r="M28" i="1"/>
  <c r="M33" i="1"/>
  <c r="M32" i="1"/>
  <c r="M31" i="1"/>
  <c r="M29" i="1"/>
  <c r="M30" i="1"/>
  <c r="L28" i="1"/>
  <c r="L33" i="1"/>
  <c r="L32" i="1"/>
  <c r="L31" i="1"/>
  <c r="L29" i="1"/>
  <c r="L30" i="1"/>
  <c r="K28" i="1"/>
  <c r="K33" i="1"/>
  <c r="K32" i="1"/>
  <c r="K31" i="1"/>
  <c r="K29" i="1"/>
  <c r="K30" i="1"/>
</calcChain>
</file>

<file path=xl/sharedStrings.xml><?xml version="1.0" encoding="utf-8"?>
<sst xmlns="http://schemas.openxmlformats.org/spreadsheetml/2006/main" count="31" uniqueCount="16">
  <si>
    <t>Mini Data</t>
  </si>
  <si>
    <t>Manufacturing Method 1</t>
  </si>
  <si>
    <t>Manufacturing Method 2</t>
  </si>
  <si>
    <t>Manufacturing Method 3</t>
  </si>
  <si>
    <t>Weight (g)</t>
  </si>
  <si>
    <t xml:space="preserve">Thickness (mm) </t>
  </si>
  <si>
    <t>Thickness (mm)</t>
  </si>
  <si>
    <t xml:space="preserve">Roast Factor </t>
  </si>
  <si>
    <t>Area (mm^2)</t>
  </si>
  <si>
    <t xml:space="preserve">Mean </t>
  </si>
  <si>
    <t xml:space="preserve">Median </t>
  </si>
  <si>
    <t xml:space="preserve">Mode </t>
  </si>
  <si>
    <t>N/A</t>
  </si>
  <si>
    <t>Range</t>
  </si>
  <si>
    <t>Variance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</si>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</sst>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4472C4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2" fontId="2" fillId="4" borderId="0" xfId="0" applyNumberFormat="1" applyFont="1" applyFill="1"/>
    <xf numFmtId="2" fontId="2" fillId="4" borderId="2" xfId="0" applyNumberFormat="1" applyFont="1" applyFill="1" applyBorder="1"/>
    <xf numFmtId="2" fontId="0" fillId="3" borderId="3" xfId="0" applyNumberFormat="1" applyFill="1" applyBorder="1"/>
    <xf numFmtId="2" fontId="0" fillId="3" borderId="4" xfId="0" applyNumberFormat="1" applyFill="1" applyBorder="1"/>
    <xf numFmtId="2" fontId="0" fillId="2" borderId="5" xfId="0" applyNumberFormat="1" applyFill="1" applyBorder="1"/>
    <xf numFmtId="2" fontId="0" fillId="2" borderId="1" xfId="0" applyNumberFormat="1" applyFill="1" applyBorder="1"/>
    <xf numFmtId="2" fontId="0" fillId="3" borderId="5" xfId="0" applyNumberFormat="1" applyFill="1" applyBorder="1"/>
    <xf numFmtId="2" fontId="0" fillId="3" borderId="1" xfId="0" applyNumberFormat="1" applyFill="1" applyBorder="1"/>
    <xf numFmtId="2" fontId="0" fillId="5" borderId="0" xfId="0" applyNumberFormat="1" applyFill="1"/>
    <xf numFmtId="2" fontId="3" fillId="6" borderId="0" xfId="0" applyNumberFormat="1" applyFont="1" applyFill="1"/>
  </cellXfs>
  <cellStyles count="1">
    <cellStyle name="Normal" xfId="0" builtinId="0"/>
  </cellStyles>
  <dxfs count="23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Method 1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Roast factor consistency</a:t>
            </a:r>
          </a:p>
        </cx:rich>
      </cx:tx>
    </cx:title>
    <cx:plotArea>
      <cx:plotAreaRegion>
        <cx:series layoutId="clusteredColumn" uniqueId="{6897357E-06CE-4269-9DF9-4B60042DBF21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Method 2 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Roast Factor Consistency</a:t>
            </a:r>
          </a:p>
        </cx:rich>
      </cx:tx>
    </cx:title>
    <cx:plotArea>
      <cx:plotAreaRegion>
        <cx:series layoutId="clusteredColumn" uniqueId="{F4457B08-B984-4533-BCEA-0818AED05530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Method 3</a:t>
            </a:r>
          </a:p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Roast Factor Consistency</a:t>
            </a:r>
          </a:p>
        </cx:rich>
      </cx:tx>
    </cx:title>
    <cx:plotArea>
      <cx:plotAreaRegion>
        <cx:series layoutId="clusteredColumn" uniqueId="{C848F274-0B1A-400E-9533-B5514886C739}"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Method 1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Method 1 Area</a:t>
          </a:r>
        </a:p>
      </cx:txPr>
    </cx:title>
    <cx:plotArea>
      <cx:plotAreaRegion>
        <cx:series layoutId="boxWhisker" uniqueId="{827A0C39-6243-489C-84B2-89170B99414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5"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Method 2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Method 2 Area</a:t>
          </a:r>
        </a:p>
      </cx:txPr>
    </cx:title>
    <cx:plotArea>
      <cx:plotAreaRegion>
        <cx:series layoutId="boxWhisker" uniqueId="{63151D06-99BA-4255-89A5-BF6BF9C7D39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5"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Method 3 Area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Method 3 Area</a:t>
          </a:r>
        </a:p>
      </cx:txPr>
    </cx:title>
    <cx:plotArea>
      <cx:plotAreaRegion>
        <cx:series layoutId="boxWhisker" uniqueId="{83609FAE-07BE-4DBB-94D4-9FA1D02A3F2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55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647700</xdr:colOff>
      <xdr:row>35</xdr:row>
      <xdr:rowOff>138112</xdr:rowOff>
    </xdr:from>
    <xdr:to>
      <xdr:col>7</xdr:col>
      <xdr:colOff>819150</xdr:colOff>
      <xdr:row>50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FCA3F1C-19FA-4599-9E91-FE7924B7A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985837</xdr:colOff>
      <xdr:row>35</xdr:row>
      <xdr:rowOff>119062</xdr:rowOff>
    </xdr:from>
    <xdr:to>
      <xdr:col>12</xdr:col>
      <xdr:colOff>652462</xdr:colOff>
      <xdr:row>50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48AAF07-1789-46B5-ADD0-50E696B87F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776287</xdr:colOff>
      <xdr:row>35</xdr:row>
      <xdr:rowOff>138112</xdr:rowOff>
    </xdr:from>
    <xdr:to>
      <xdr:col>17</xdr:col>
      <xdr:colOff>538162</xdr:colOff>
      <xdr:row>50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8D99E4C-3183-4D1B-81F0-EA9C0A7EFC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661987</xdr:colOff>
      <xdr:row>51</xdr:row>
      <xdr:rowOff>4762</xdr:rowOff>
    </xdr:from>
    <xdr:to>
      <xdr:col>7</xdr:col>
      <xdr:colOff>833437</xdr:colOff>
      <xdr:row>65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46C9958D-7EB8-4670-9177-7B5A794B27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4762</xdr:colOff>
      <xdr:row>51</xdr:row>
      <xdr:rowOff>23812</xdr:rowOff>
    </xdr:from>
    <xdr:to>
      <xdr:col>12</xdr:col>
      <xdr:colOff>795337</xdr:colOff>
      <xdr:row>65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F1A3110-D7DD-4038-AB85-8FE7EA8A4C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52387</xdr:colOff>
      <xdr:row>51</xdr:row>
      <xdr:rowOff>52387</xdr:rowOff>
    </xdr:from>
    <xdr:to>
      <xdr:col>17</xdr:col>
      <xdr:colOff>814387</xdr:colOff>
      <xdr:row>65</xdr:row>
      <xdr:rowOff>128587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A0A04053-C36C-40E0-BF56-DA2DB3F415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D32028-8104-46CC-AEE2-0FD18255660E}" name="Table1" displayName="Table1" ref="E2:H28" totalsRowCount="1" headerRowDxfId="22">
  <autoFilter ref="E2:H27" xr:uid="{06D32028-8104-46CC-AEE2-0FD18255660E}"/>
  <sortState xmlns:xlrd2="http://schemas.microsoft.com/office/spreadsheetml/2017/richdata2" ref="E3:H27">
    <sortCondition ref="G2:G27"/>
  </sortState>
  <tableColumns count="4">
    <tableColumn id="1" xr3:uid="{863C2369-88F5-4A6C-A091-0ADED21C7E1B}" name="Weight (g)" totalsRowFunction="custom" dataDxfId="20" totalsRowDxfId="21">
      <totalsRowFormula>AVERAGE(Table1[Weight (g)])</totalsRowFormula>
    </tableColumn>
    <tableColumn id="2" xr3:uid="{B0178F9E-88E1-47A6-A60C-119701A5127F}" name="Thickness (mm)" totalsRowFunction="custom" dataDxfId="18" totalsRowDxfId="19">
      <totalsRowFormula>AVERAGE(Table1[Thickness (mm)])</totalsRowFormula>
    </tableColumn>
    <tableColumn id="3" xr3:uid="{FE1ADAAC-D9FD-43BF-A9EE-86D99F74519E}" name="Roast Factor " totalsRowFunction="custom" dataDxfId="16" totalsRowDxfId="17">
      <totalsRowFormula>AVERAGE(Table1[[Roast Factor ]])</totalsRowFormula>
    </tableColumn>
    <tableColumn id="4" xr3:uid="{29E6DCAA-5C0F-420E-A01D-1D358B2ED95E}" name="Area (mm^2)" totalsRowFunction="custom" dataDxfId="14" totalsRowDxfId="15">
      <totalsRowFormula>AVERAGE(Table1[Area (mm^2)])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37D2B6-997C-4FC9-95D3-AA14C065D8B6}" name="Table14" displayName="Table14" ref="J2:M28" totalsRowCount="1" headerRowDxfId="13">
  <autoFilter ref="J2:M27" xr:uid="{7537D2B6-997C-4FC9-95D3-AA14C065D8B6}"/>
  <sortState xmlns:xlrd2="http://schemas.microsoft.com/office/spreadsheetml/2017/richdata2" ref="J3:M27">
    <sortCondition ref="J2:J27"/>
  </sortState>
  <tableColumns count="4">
    <tableColumn id="1" xr3:uid="{B74DFDD0-4AC3-446D-BEF8-599AE1153BF7}" name="Weight (g)" totalsRowFunction="custom" dataDxfId="11" totalsRowDxfId="12">
      <totalsRowFormula>AVERAGE(Table14[Weight (g)])</totalsRowFormula>
    </tableColumn>
    <tableColumn id="2" xr3:uid="{AAF2ABF3-4370-498A-B7A4-46F29C3FEE86}" name="Thickness (mm)" totalsRowFunction="custom" dataDxfId="9" totalsRowDxfId="10">
      <totalsRowFormula>AVERAGE(Table14[Thickness (mm)])</totalsRowFormula>
    </tableColumn>
    <tableColumn id="3" xr3:uid="{31F105F4-82C9-4384-95D4-AEE91D66199F}" name="Roast Factor " totalsRowFunction="custom" dataDxfId="7" totalsRowDxfId="8">
      <totalsRowFormula>AVERAGE(Table14[[Roast Factor ]])</totalsRowFormula>
    </tableColumn>
    <tableColumn id="4" xr3:uid="{27CF4FF4-F4A9-4C1A-B685-E0F2D544C02E}" name="Area (mm^2)" totalsRowFunction="custom" dataDxfId="5" totalsRowDxfId="6">
      <totalsRowFormula>AVERAGE(Table14[Area (mm^2)])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6A2086-BE49-4AEF-BA05-40A164ADE073}" name="Table146" displayName="Table146" ref="O2:R27" totalsRowShown="0" headerRowDxfId="4">
  <autoFilter ref="O2:R27" xr:uid="{456A2086-BE49-4AEF-BA05-40A164ADE073}"/>
  <sortState xmlns:xlrd2="http://schemas.microsoft.com/office/spreadsheetml/2017/richdata2" ref="O3:R27">
    <sortCondition ref="O2:O27"/>
  </sortState>
  <tableColumns count="4">
    <tableColumn id="1" xr3:uid="{08C5B0F1-1FD1-4A3A-AD02-60AE1E80648E}" name="Weight (g)" dataDxfId="3"/>
    <tableColumn id="2" xr3:uid="{2CF3D714-C501-4F85-8D7C-80D764ACA481}" name="Thickness (mm)" dataDxfId="2"/>
    <tableColumn id="3" xr3:uid="{7B19D0FE-8FBF-47BF-B7AF-931F363A91F0}" name="Roast Factor " dataDxfId="1"/>
    <tableColumn id="4" xr3:uid="{05482274-6B05-4043-B2A3-2867857EC51D}" name="Area (mm^2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CBDC1-504D-44B1-A82F-C2483B2D67BE}">
  <dimension ref="A1:R33"/>
  <sheetViews>
    <sheetView tabSelected="1" topLeftCell="D35" workbookViewId="0">
      <selection activeCell="O72" sqref="O72"/>
    </sheetView>
  </sheetViews>
  <sheetFormatPr defaultRowHeight="15"/>
  <cols>
    <col min="1" max="1" width="16.85546875" style="1" customWidth="1"/>
    <col min="2" max="2" width="15.140625" style="1" customWidth="1"/>
    <col min="3" max="3" width="14.85546875" style="1" customWidth="1"/>
    <col min="4" max="4" width="11.7109375" customWidth="1"/>
    <col min="5" max="5" width="18.28515625" customWidth="1"/>
    <col min="6" max="6" width="19.28515625" customWidth="1"/>
    <col min="7" max="7" width="16.7109375" customWidth="1"/>
    <col min="8" max="8" width="16.85546875" customWidth="1"/>
    <col min="9" max="9" width="11.140625" customWidth="1"/>
    <col min="10" max="10" width="14.42578125" customWidth="1"/>
    <col min="11" max="11" width="16.5703125" customWidth="1"/>
    <col min="12" max="12" width="14.5703125" customWidth="1"/>
    <col min="13" max="13" width="15" customWidth="1"/>
    <col min="15" max="15" width="16.140625" customWidth="1"/>
    <col min="16" max="16" width="18.140625" customWidth="1"/>
    <col min="17" max="17" width="13.7109375" customWidth="1"/>
    <col min="18" max="18" width="14.140625" customWidth="1"/>
  </cols>
  <sheetData>
    <row r="1" spans="1:18">
      <c r="B1" s="2" t="s">
        <v>0</v>
      </c>
      <c r="E1" s="3" t="s">
        <v>1</v>
      </c>
      <c r="J1" s="3" t="s">
        <v>2</v>
      </c>
      <c r="O1" s="3" t="s">
        <v>3</v>
      </c>
    </row>
    <row r="2" spans="1:18" ht="15.75" thickBot="1">
      <c r="B2" s="4" t="s">
        <v>4</v>
      </c>
      <c r="C2" s="5" t="s">
        <v>5</v>
      </c>
      <c r="E2" s="1" t="s">
        <v>4</v>
      </c>
      <c r="F2" s="1" t="s">
        <v>6</v>
      </c>
      <c r="G2" s="1" t="s">
        <v>7</v>
      </c>
      <c r="H2" t="s">
        <v>8</v>
      </c>
      <c r="J2" s="1" t="s">
        <v>4</v>
      </c>
      <c r="K2" s="1" t="s">
        <v>6</v>
      </c>
      <c r="L2" s="1" t="s">
        <v>7</v>
      </c>
      <c r="M2" t="s">
        <v>8</v>
      </c>
      <c r="O2" s="1" t="s">
        <v>4</v>
      </c>
      <c r="P2" s="1" t="s">
        <v>6</v>
      </c>
      <c r="Q2" s="1" t="s">
        <v>7</v>
      </c>
      <c r="R2" t="s">
        <v>8</v>
      </c>
    </row>
    <row r="3" spans="1:18" ht="15.75" thickTop="1">
      <c r="B3" s="6">
        <v>0.13</v>
      </c>
      <c r="C3" s="7">
        <v>0.47</v>
      </c>
      <c r="E3" s="1">
        <v>0.1</v>
      </c>
      <c r="F3" s="1">
        <v>0.4</v>
      </c>
      <c r="G3" s="1">
        <v>0.2</v>
      </c>
      <c r="H3" s="1">
        <v>29</v>
      </c>
      <c r="J3" s="1">
        <v>0.12</v>
      </c>
      <c r="K3" s="1">
        <v>0.41</v>
      </c>
      <c r="L3" s="1">
        <v>0.21</v>
      </c>
      <c r="M3" s="1">
        <v>30</v>
      </c>
      <c r="O3" s="1">
        <v>0.25</v>
      </c>
      <c r="P3" s="1">
        <v>0.7</v>
      </c>
      <c r="Q3" s="1">
        <v>0.5</v>
      </c>
      <c r="R3" s="1">
        <v>30</v>
      </c>
    </row>
    <row r="4" spans="1:18">
      <c r="B4" s="8">
        <v>0.22</v>
      </c>
      <c r="C4" s="9">
        <v>0.68</v>
      </c>
      <c r="E4" s="1">
        <v>0.1</v>
      </c>
      <c r="F4" s="1">
        <v>0.43</v>
      </c>
      <c r="G4" s="1">
        <v>0.25</v>
      </c>
      <c r="H4" s="1">
        <v>28</v>
      </c>
      <c r="J4" s="1">
        <v>0.12</v>
      </c>
      <c r="K4" s="1">
        <v>0.45</v>
      </c>
      <c r="L4" s="1">
        <v>0.21</v>
      </c>
      <c r="M4" s="1">
        <v>33</v>
      </c>
      <c r="O4" s="1">
        <v>0.25</v>
      </c>
      <c r="P4" s="1">
        <v>0.73</v>
      </c>
      <c r="Q4" s="1">
        <v>0.5</v>
      </c>
      <c r="R4" s="1">
        <v>33</v>
      </c>
    </row>
    <row r="5" spans="1:18">
      <c r="B5" s="10">
        <v>0.22</v>
      </c>
      <c r="C5" s="11">
        <v>0.71</v>
      </c>
      <c r="E5" s="1">
        <v>0.13</v>
      </c>
      <c r="F5" s="1">
        <v>0.47</v>
      </c>
      <c r="G5" s="1">
        <v>0.27</v>
      </c>
      <c r="H5" s="1">
        <v>30</v>
      </c>
      <c r="J5" s="1">
        <v>0.12</v>
      </c>
      <c r="K5" s="1">
        <v>0.42</v>
      </c>
      <c r="L5" s="1">
        <v>0.21</v>
      </c>
      <c r="M5" s="1">
        <v>35</v>
      </c>
      <c r="O5" s="1">
        <v>0.25</v>
      </c>
      <c r="P5" s="1">
        <v>0.7</v>
      </c>
      <c r="Q5" s="1">
        <v>0.5</v>
      </c>
      <c r="R5" s="1">
        <v>32</v>
      </c>
    </row>
    <row r="6" spans="1:18">
      <c r="B6" s="8">
        <v>0.31</v>
      </c>
      <c r="C6" s="9">
        <v>0.92</v>
      </c>
      <c r="E6" s="1">
        <v>0.13</v>
      </c>
      <c r="F6" s="1">
        <v>0.52</v>
      </c>
      <c r="G6" s="1">
        <v>0.32</v>
      </c>
      <c r="H6" s="1">
        <v>33</v>
      </c>
      <c r="J6" s="1">
        <v>0.12</v>
      </c>
      <c r="K6" s="1">
        <v>0.42</v>
      </c>
      <c r="L6" s="1">
        <v>0.3</v>
      </c>
      <c r="M6" s="1">
        <v>38.5</v>
      </c>
      <c r="O6" s="1">
        <v>0.26</v>
      </c>
      <c r="P6" s="1">
        <v>0.7</v>
      </c>
      <c r="Q6" s="1">
        <v>0.5</v>
      </c>
      <c r="R6" s="1">
        <v>33</v>
      </c>
    </row>
    <row r="7" spans="1:18">
      <c r="A7" s="1" t="s">
        <v>9</v>
      </c>
      <c r="B7" s="1">
        <f>(B3+B4+B5+B6)/4</f>
        <v>0.21999999999999997</v>
      </c>
      <c r="C7" s="1">
        <f>(C3+C4+C5+C6)/4</f>
        <v>0.69499999999999995</v>
      </c>
      <c r="E7" s="1">
        <v>0.17</v>
      </c>
      <c r="F7" s="1">
        <v>0.63</v>
      </c>
      <c r="G7" s="1">
        <v>0.38</v>
      </c>
      <c r="H7" s="1">
        <v>31</v>
      </c>
      <c r="J7" s="1">
        <v>0.13</v>
      </c>
      <c r="K7" s="1">
        <v>0.47</v>
      </c>
      <c r="L7" s="1">
        <v>0.23</v>
      </c>
      <c r="M7" s="1">
        <v>28.5</v>
      </c>
      <c r="O7" s="1">
        <v>0.26</v>
      </c>
      <c r="P7" s="1">
        <v>0.72</v>
      </c>
      <c r="Q7" s="1">
        <v>0.54</v>
      </c>
      <c r="R7" s="1">
        <v>33.5</v>
      </c>
    </row>
    <row r="8" spans="1:18">
      <c r="A8" s="1" t="s">
        <v>10</v>
      </c>
      <c r="B8" s="1">
        <f>(B4+B5)/2</f>
        <v>0.22</v>
      </c>
      <c r="C8" s="1">
        <f>(C4+C5)/2</f>
        <v>0.69500000000000006</v>
      </c>
      <c r="E8" s="1">
        <v>0.2</v>
      </c>
      <c r="F8" s="1">
        <v>0.66</v>
      </c>
      <c r="G8" s="1">
        <v>0.38</v>
      </c>
      <c r="H8" s="1">
        <v>32.5</v>
      </c>
      <c r="J8" s="1">
        <v>0.13</v>
      </c>
      <c r="K8" s="1">
        <v>0.43</v>
      </c>
      <c r="L8" s="1">
        <v>0.27</v>
      </c>
      <c r="M8" s="1">
        <v>26</v>
      </c>
      <c r="O8" s="1">
        <v>0.26</v>
      </c>
      <c r="P8" s="1">
        <v>0.72</v>
      </c>
      <c r="Q8" s="1">
        <v>0.52</v>
      </c>
      <c r="R8" s="1">
        <v>34</v>
      </c>
    </row>
    <row r="9" spans="1:18">
      <c r="A9" s="1" t="s">
        <v>11</v>
      </c>
      <c r="B9" s="1">
        <v>0.22</v>
      </c>
      <c r="C9" s="1" t="s">
        <v>12</v>
      </c>
      <c r="E9" s="1">
        <v>0.17</v>
      </c>
      <c r="F9" s="1">
        <v>0.63</v>
      </c>
      <c r="G9" s="1">
        <v>0.4</v>
      </c>
      <c r="H9" s="1">
        <v>32</v>
      </c>
      <c r="J9" s="1">
        <v>0.13</v>
      </c>
      <c r="K9" s="1">
        <v>0.43</v>
      </c>
      <c r="L9" s="1">
        <v>0.23</v>
      </c>
      <c r="M9" s="1">
        <v>37</v>
      </c>
      <c r="O9" s="1">
        <v>0.27</v>
      </c>
      <c r="P9" s="1">
        <v>0.74</v>
      </c>
      <c r="Q9" s="1">
        <v>0.52</v>
      </c>
      <c r="R9" s="1">
        <v>36</v>
      </c>
    </row>
    <row r="10" spans="1:18">
      <c r="A10" s="1" t="s">
        <v>13</v>
      </c>
      <c r="B10" s="1">
        <f>0.31-0.13</f>
        <v>0.18</v>
      </c>
      <c r="C10" s="1">
        <f>0.92-0.47</f>
        <v>0.45000000000000007</v>
      </c>
      <c r="E10" s="1">
        <v>0.14000000000000001</v>
      </c>
      <c r="F10" s="1">
        <v>0.63</v>
      </c>
      <c r="G10" s="1">
        <v>0.43</v>
      </c>
      <c r="H10" s="1">
        <v>30</v>
      </c>
      <c r="J10" s="1">
        <v>0.13</v>
      </c>
      <c r="K10" s="1">
        <v>0.52</v>
      </c>
      <c r="L10" s="1">
        <v>0.24</v>
      </c>
      <c r="M10" s="1">
        <v>32</v>
      </c>
      <c r="O10" s="1">
        <v>0.27</v>
      </c>
      <c r="P10" s="1">
        <v>0.76</v>
      </c>
      <c r="Q10" s="1">
        <v>0.52</v>
      </c>
      <c r="R10" s="1">
        <v>34.5</v>
      </c>
    </row>
    <row r="11" spans="1:18">
      <c r="A11" s="1" t="s">
        <v>14</v>
      </c>
      <c r="B11" s="1">
        <f>(B3-B7)^2+(B4-B7)^2+(B5-B7)^2+(B6-B7)^2</f>
        <v>1.6199999999999999E-2</v>
      </c>
      <c r="C11" s="1">
        <f>(C3-C7)^2+(C4-C7)^2+(C5-C7)^2+(C6-C7)^2</f>
        <v>0.10170000000000003</v>
      </c>
      <c r="E11" s="1">
        <v>0.2</v>
      </c>
      <c r="F11" s="1">
        <v>0.68</v>
      </c>
      <c r="G11" s="1">
        <v>0.44</v>
      </c>
      <c r="H11" s="1">
        <v>37</v>
      </c>
      <c r="J11" s="1">
        <v>0.22</v>
      </c>
      <c r="K11" s="1">
        <v>0.65</v>
      </c>
      <c r="L11" s="1">
        <v>0.5</v>
      </c>
      <c r="M11" s="1">
        <v>40</v>
      </c>
      <c r="O11" s="1">
        <v>0.28000000000000003</v>
      </c>
      <c r="P11" s="1">
        <v>0.73</v>
      </c>
      <c r="Q11" s="1">
        <v>0.6</v>
      </c>
      <c r="R11" s="1">
        <v>36</v>
      </c>
    </row>
    <row r="12" spans="1:18">
      <c r="A12" s="1" t="s">
        <v>15</v>
      </c>
      <c r="B12" s="1">
        <f>SQRT(B11)</f>
        <v>0.12727922061357855</v>
      </c>
      <c r="C12" s="1">
        <f>SQRT(C11)</f>
        <v>0.3189043743820395</v>
      </c>
      <c r="E12" s="1">
        <v>0.2</v>
      </c>
      <c r="F12" s="1">
        <v>0.7</v>
      </c>
      <c r="G12" s="1">
        <v>0.47</v>
      </c>
      <c r="H12" s="1">
        <v>33</v>
      </c>
      <c r="J12" s="1">
        <v>0.22</v>
      </c>
      <c r="K12" s="1">
        <v>0.65</v>
      </c>
      <c r="L12" s="1">
        <v>0.5</v>
      </c>
      <c r="M12" s="1">
        <v>42</v>
      </c>
      <c r="O12" s="1">
        <v>0.28000000000000003</v>
      </c>
      <c r="P12" s="1">
        <v>0.73</v>
      </c>
      <c r="Q12" s="1">
        <v>0.52</v>
      </c>
      <c r="R12" s="1">
        <v>36</v>
      </c>
    </row>
    <row r="13" spans="1:18">
      <c r="E13" s="1">
        <v>0.2</v>
      </c>
      <c r="F13" s="1">
        <v>0.71</v>
      </c>
      <c r="G13" s="1">
        <v>0.49</v>
      </c>
      <c r="H13" s="1">
        <v>33</v>
      </c>
      <c r="J13" s="1">
        <v>0.23</v>
      </c>
      <c r="K13" s="1">
        <v>0.69</v>
      </c>
      <c r="L13" s="1">
        <v>0.51</v>
      </c>
      <c r="M13" s="1">
        <v>21</v>
      </c>
      <c r="O13" s="1">
        <v>0.28999999999999998</v>
      </c>
      <c r="P13" s="1">
        <v>0.73</v>
      </c>
      <c r="Q13" s="1">
        <v>0.53</v>
      </c>
      <c r="R13" s="1">
        <v>36.5</v>
      </c>
    </row>
    <row r="14" spans="1:18">
      <c r="E14" s="1">
        <v>0.23</v>
      </c>
      <c r="F14" s="1">
        <v>0.67</v>
      </c>
      <c r="G14" s="1">
        <v>0.49</v>
      </c>
      <c r="H14" s="1">
        <v>31.5</v>
      </c>
      <c r="J14" s="1">
        <v>0.23</v>
      </c>
      <c r="K14" s="1">
        <v>0.65</v>
      </c>
      <c r="L14" s="1">
        <v>0.6</v>
      </c>
      <c r="M14" s="1">
        <v>21</v>
      </c>
      <c r="O14" s="1">
        <v>0.28999999999999998</v>
      </c>
      <c r="P14" s="1">
        <v>0.75</v>
      </c>
      <c r="Q14" s="1">
        <v>0.55000000000000004</v>
      </c>
      <c r="R14" s="1">
        <v>36.5</v>
      </c>
    </row>
    <row r="15" spans="1:18">
      <c r="E15" s="1">
        <v>0.24</v>
      </c>
      <c r="F15" s="1">
        <v>0.71</v>
      </c>
      <c r="G15" s="1">
        <v>0.56000000000000005</v>
      </c>
      <c r="H15" s="1">
        <v>34</v>
      </c>
      <c r="J15" s="1">
        <v>0.23</v>
      </c>
      <c r="K15" s="1">
        <v>0.66</v>
      </c>
      <c r="L15" s="1">
        <v>0.51</v>
      </c>
      <c r="M15" s="1">
        <v>29</v>
      </c>
      <c r="O15" s="1">
        <v>0.3</v>
      </c>
      <c r="P15" s="1">
        <v>0.75</v>
      </c>
      <c r="Q15" s="1">
        <v>0.55000000000000004</v>
      </c>
      <c r="R15" s="1">
        <v>36.5</v>
      </c>
    </row>
    <row r="16" spans="1:18">
      <c r="E16" s="1">
        <v>0.26</v>
      </c>
      <c r="F16" s="1">
        <v>0.78</v>
      </c>
      <c r="G16" s="1">
        <v>0.59</v>
      </c>
      <c r="H16" s="1">
        <v>32</v>
      </c>
      <c r="J16" s="1">
        <v>0.24</v>
      </c>
      <c r="K16" s="1">
        <v>0.66</v>
      </c>
      <c r="L16" s="1">
        <v>0.51</v>
      </c>
      <c r="M16" s="1">
        <v>21</v>
      </c>
      <c r="O16" s="1">
        <v>0.3</v>
      </c>
      <c r="P16" s="1">
        <v>0.75</v>
      </c>
      <c r="Q16" s="1">
        <v>0.55000000000000004</v>
      </c>
      <c r="R16" s="1">
        <v>38</v>
      </c>
    </row>
    <row r="17" spans="4:18">
      <c r="E17" s="1">
        <v>0.24</v>
      </c>
      <c r="F17" s="1">
        <v>0.72</v>
      </c>
      <c r="G17" s="1">
        <v>0.61</v>
      </c>
      <c r="H17" s="1">
        <v>34</v>
      </c>
      <c r="J17" s="1">
        <v>0.24</v>
      </c>
      <c r="K17" s="1">
        <v>0.59</v>
      </c>
      <c r="L17" s="1">
        <v>0.51</v>
      </c>
      <c r="M17" s="1">
        <v>27</v>
      </c>
      <c r="O17" s="1">
        <v>0.31</v>
      </c>
      <c r="P17" s="1">
        <v>0.77</v>
      </c>
      <c r="Q17" s="1">
        <v>0.55000000000000004</v>
      </c>
      <c r="R17" s="1">
        <v>37</v>
      </c>
    </row>
    <row r="18" spans="4:18">
      <c r="E18" s="1">
        <v>0.28000000000000003</v>
      </c>
      <c r="F18" s="1">
        <v>0.87</v>
      </c>
      <c r="G18" s="1">
        <v>0.62</v>
      </c>
      <c r="H18" s="1">
        <v>36</v>
      </c>
      <c r="J18" s="1">
        <v>0.25</v>
      </c>
      <c r="K18" s="1">
        <v>0.67</v>
      </c>
      <c r="L18" s="1">
        <v>0.52</v>
      </c>
      <c r="M18" s="1">
        <v>22</v>
      </c>
      <c r="O18" s="1">
        <v>0.31</v>
      </c>
      <c r="P18" s="1">
        <v>0.77</v>
      </c>
      <c r="Q18" s="1">
        <v>0.56999999999999995</v>
      </c>
      <c r="R18" s="1">
        <v>37</v>
      </c>
    </row>
    <row r="19" spans="4:18">
      <c r="E19" s="12">
        <v>0.26</v>
      </c>
      <c r="F19" s="1">
        <v>0.73</v>
      </c>
      <c r="G19" s="1">
        <v>0.65</v>
      </c>
      <c r="H19" s="1">
        <v>35.5</v>
      </c>
      <c r="J19" s="1">
        <v>0.32</v>
      </c>
      <c r="K19" s="1">
        <v>0.91</v>
      </c>
      <c r="L19" s="1">
        <v>0.72</v>
      </c>
      <c r="M19" s="1">
        <v>29</v>
      </c>
      <c r="O19" s="1">
        <v>0.31</v>
      </c>
      <c r="P19" s="1">
        <v>0.73</v>
      </c>
      <c r="Q19" s="1">
        <v>0.56999999999999995</v>
      </c>
      <c r="R19" s="1">
        <v>34</v>
      </c>
    </row>
    <row r="20" spans="4:18">
      <c r="E20" s="1">
        <v>0.27</v>
      </c>
      <c r="F20" s="1">
        <v>0.86</v>
      </c>
      <c r="G20" s="1">
        <v>0.69</v>
      </c>
      <c r="H20" s="1">
        <v>35.5</v>
      </c>
      <c r="J20" s="1">
        <v>0.32</v>
      </c>
      <c r="K20" s="1">
        <v>0.94</v>
      </c>
      <c r="L20" s="1">
        <v>0.74</v>
      </c>
      <c r="M20" s="1">
        <v>42.5</v>
      </c>
      <c r="O20" s="1">
        <v>0.31</v>
      </c>
      <c r="P20" s="1">
        <v>0.77</v>
      </c>
      <c r="Q20" s="1">
        <v>0.63</v>
      </c>
      <c r="R20" s="1">
        <v>38</v>
      </c>
    </row>
    <row r="21" spans="4:18">
      <c r="E21" s="1">
        <v>0.28999999999999998</v>
      </c>
      <c r="F21" s="1">
        <v>0.88</v>
      </c>
      <c r="G21" s="1">
        <v>0.73</v>
      </c>
      <c r="H21" s="1">
        <v>36</v>
      </c>
      <c r="J21" s="1">
        <v>0.32</v>
      </c>
      <c r="K21" s="1">
        <v>0.92</v>
      </c>
      <c r="L21" s="1">
        <v>0.68</v>
      </c>
      <c r="M21" s="1">
        <v>38</v>
      </c>
      <c r="O21" s="1">
        <v>0.31</v>
      </c>
      <c r="P21" s="1">
        <v>0.78</v>
      </c>
      <c r="Q21" s="1">
        <v>0.57999999999999996</v>
      </c>
      <c r="R21" s="1">
        <v>38</v>
      </c>
    </row>
    <row r="22" spans="4:18">
      <c r="E22" s="1">
        <v>0.28999999999999998</v>
      </c>
      <c r="F22" s="1">
        <v>0.81</v>
      </c>
      <c r="G22" s="1">
        <v>0.75</v>
      </c>
      <c r="H22" s="1">
        <v>34</v>
      </c>
      <c r="J22" s="1">
        <v>0.33</v>
      </c>
      <c r="K22" s="1">
        <v>0.92</v>
      </c>
      <c r="L22" s="1">
        <v>0.74</v>
      </c>
      <c r="M22" s="1">
        <v>30</v>
      </c>
      <c r="O22" s="1">
        <v>0.31</v>
      </c>
      <c r="P22" s="1">
        <v>0.78</v>
      </c>
      <c r="Q22" s="1">
        <v>0.59</v>
      </c>
      <c r="R22" s="1">
        <v>37</v>
      </c>
    </row>
    <row r="23" spans="4:18">
      <c r="E23" s="1">
        <v>0.34</v>
      </c>
      <c r="F23" s="1">
        <v>0.97</v>
      </c>
      <c r="G23" s="1">
        <v>0.79</v>
      </c>
      <c r="H23" s="1">
        <v>37</v>
      </c>
      <c r="J23" s="1">
        <v>0.33</v>
      </c>
      <c r="K23" s="1">
        <v>0.93</v>
      </c>
      <c r="L23" s="1">
        <v>0.81</v>
      </c>
      <c r="M23" s="1">
        <v>37</v>
      </c>
      <c r="O23" s="1">
        <v>0.32</v>
      </c>
      <c r="P23" s="1">
        <v>0.75</v>
      </c>
      <c r="Q23" s="1">
        <v>0.59</v>
      </c>
      <c r="R23" s="1">
        <v>40</v>
      </c>
    </row>
    <row r="24" spans="4:18">
      <c r="E24" s="1">
        <v>0.31</v>
      </c>
      <c r="F24" s="1">
        <v>0.85</v>
      </c>
      <c r="G24" s="1">
        <v>0.8</v>
      </c>
      <c r="H24" s="1">
        <v>36</v>
      </c>
      <c r="J24" s="1">
        <v>0.33</v>
      </c>
      <c r="K24" s="1">
        <v>0.89</v>
      </c>
      <c r="L24" s="1">
        <v>0.75</v>
      </c>
      <c r="M24" s="1">
        <v>34.5</v>
      </c>
      <c r="O24" s="1">
        <v>0.32</v>
      </c>
      <c r="P24" s="1">
        <v>0.78</v>
      </c>
      <c r="Q24" s="1">
        <v>0.56999999999999995</v>
      </c>
      <c r="R24" s="1">
        <v>39</v>
      </c>
    </row>
    <row r="25" spans="4:18">
      <c r="E25" s="1">
        <v>0.34</v>
      </c>
      <c r="F25" s="1">
        <v>0.99</v>
      </c>
      <c r="G25" s="1">
        <v>0.81</v>
      </c>
      <c r="H25" s="1">
        <v>37</v>
      </c>
      <c r="J25" s="1">
        <v>0.34</v>
      </c>
      <c r="K25" s="1">
        <v>0.93</v>
      </c>
      <c r="L25" s="1">
        <v>0.76</v>
      </c>
      <c r="M25" s="1">
        <v>30.5</v>
      </c>
      <c r="O25" s="1">
        <v>0.32</v>
      </c>
      <c r="P25" s="1">
        <v>0.8</v>
      </c>
      <c r="Q25" s="1">
        <v>0.59</v>
      </c>
      <c r="R25" s="1">
        <v>39</v>
      </c>
    </row>
    <row r="26" spans="4:18">
      <c r="E26" s="1">
        <v>0.35</v>
      </c>
      <c r="F26" s="1">
        <v>0.93</v>
      </c>
      <c r="G26" s="1">
        <v>0.81</v>
      </c>
      <c r="H26" s="1">
        <v>38.5</v>
      </c>
      <c r="J26" s="1">
        <v>0.34</v>
      </c>
      <c r="K26" s="1">
        <v>0.93</v>
      </c>
      <c r="L26" s="1">
        <v>0.76</v>
      </c>
      <c r="M26" s="1">
        <v>40</v>
      </c>
      <c r="O26" s="1">
        <v>0.32</v>
      </c>
      <c r="P26" s="1">
        <v>0.78</v>
      </c>
      <c r="Q26" s="1">
        <v>0.59</v>
      </c>
      <c r="R26" s="1">
        <v>38</v>
      </c>
    </row>
    <row r="27" spans="4:18">
      <c r="E27" s="1">
        <v>0.37</v>
      </c>
      <c r="F27" s="1">
        <v>1.04</v>
      </c>
      <c r="G27" s="1">
        <v>0.83</v>
      </c>
      <c r="H27" s="1">
        <v>40</v>
      </c>
      <c r="J27" s="12">
        <v>0.15</v>
      </c>
      <c r="K27" s="1">
        <v>2</v>
      </c>
      <c r="L27" s="1">
        <v>0.03</v>
      </c>
      <c r="M27" s="1">
        <v>50</v>
      </c>
      <c r="O27" s="1">
        <v>0.33</v>
      </c>
      <c r="P27" s="1">
        <v>0.8</v>
      </c>
      <c r="Q27" s="1">
        <v>0.61</v>
      </c>
      <c r="R27" s="1">
        <v>40</v>
      </c>
    </row>
    <row r="28" spans="4:18">
      <c r="D28" s="1" t="s">
        <v>9</v>
      </c>
      <c r="E28" s="1">
        <f>AVERAGE(Table1[Weight (g)])</f>
        <v>0.23239999999999994</v>
      </c>
      <c r="F28" s="1">
        <f>AVERAGE(Table1[Thickness (mm)])</f>
        <v>0.73080000000000001</v>
      </c>
      <c r="G28" s="1">
        <f>AVERAGE(Table1[[Roast Factor ]])</f>
        <v>0.55040000000000011</v>
      </c>
      <c r="H28" s="1">
        <f>AVERAGE(Table1[Area (mm^2)])</f>
        <v>33.82</v>
      </c>
      <c r="J28" s="1">
        <f>AVERAGE(Table14[Weight (g)])</f>
        <v>0.22559999999999999</v>
      </c>
      <c r="K28" s="1">
        <f>AVERAGE(Table14[Thickness (mm)])</f>
        <v>0.72560000000000002</v>
      </c>
      <c r="L28" s="1">
        <f>AVERAGE(Table14[[Roast Factor ]])</f>
        <v>0.48199999999999998</v>
      </c>
      <c r="M28" s="1">
        <f>AVERAGE(Table14[Area (mm^2)])</f>
        <v>32.58</v>
      </c>
      <c r="N28" s="1"/>
      <c r="O28" s="13">
        <f>AVERAGE(Table146[Weight (g)])</f>
        <v>0.29119999999999996</v>
      </c>
      <c r="P28" s="13">
        <f>AVERAGE(Table146[Thickness (mm)])</f>
        <v>0.74880000000000013</v>
      </c>
      <c r="Q28" s="13">
        <f>AVERAGE(Table146[[Roast Factor ]])</f>
        <v>0.55359999999999987</v>
      </c>
      <c r="R28" s="13">
        <f>AVERAGE(Table146[Area (mm^2)])</f>
        <v>36.1</v>
      </c>
    </row>
    <row r="29" spans="4:18">
      <c r="D29" s="1" t="s">
        <v>10</v>
      </c>
      <c r="E29">
        <f>MEDIAN(Table1[[#Headers],[#Data],[Weight (g)]])</f>
        <v>0.24</v>
      </c>
      <c r="F29">
        <f>MEDIAN(Table1[[#Headers],[#Data],[Thickness (mm)]])</f>
        <v>0.71</v>
      </c>
      <c r="G29">
        <f>MEDIAN(Table1[[#Headers],[#Data],[Roast Factor ]])</f>
        <v>0.56000000000000005</v>
      </c>
      <c r="H29">
        <f>MEDIAN(Table1[[#Headers],[#Data],[Area (mm^2)]])</f>
        <v>34</v>
      </c>
      <c r="J29">
        <f>MEDIAN(Table14[Weight (g)])</f>
        <v>0.23</v>
      </c>
      <c r="K29">
        <f>MEDIAN(Table14[Thickness (mm)])</f>
        <v>0.66</v>
      </c>
      <c r="L29">
        <f>MEDIAN(Table14[[Roast Factor ]])</f>
        <v>0.51</v>
      </c>
      <c r="M29">
        <f>MEDIAN(Table14[Area (mm^2)])</f>
        <v>32</v>
      </c>
      <c r="O29">
        <f>MEDIAN(Table146[Weight (g)])</f>
        <v>0.3</v>
      </c>
      <c r="P29">
        <f>MEDIAN(Table146[Thickness (mm)])</f>
        <v>0.75</v>
      </c>
      <c r="Q29">
        <f>MEDIAN(Table146[[Roast Factor ]])</f>
        <v>0.55000000000000004</v>
      </c>
      <c r="R29">
        <f>MEDIAN(Table146[Area (mm^2)])</f>
        <v>36.5</v>
      </c>
    </row>
    <row r="30" spans="4:18">
      <c r="D30" s="1" t="s">
        <v>11</v>
      </c>
      <c r="E30">
        <f>MODE(Table1[Weight (g)])</f>
        <v>0.2</v>
      </c>
      <c r="F30">
        <f>MODE(Table1[Thickness (mm)])</f>
        <v>0.63</v>
      </c>
      <c r="G30">
        <f>MODE(Table1[[Roast Factor ]])</f>
        <v>0.38</v>
      </c>
      <c r="H30">
        <f>MODE(Table1[Area (mm^2)])</f>
        <v>33</v>
      </c>
      <c r="J30">
        <f>MODE(Table14[Weight (g)])</f>
        <v>0.12</v>
      </c>
      <c r="K30">
        <f>MODE(Table14[Thickness (mm)])</f>
        <v>0.65</v>
      </c>
      <c r="L30">
        <f>MODE(Table14[[Roast Factor ]])</f>
        <v>0.51</v>
      </c>
      <c r="M30">
        <f>MODE(Table14[Area (mm^2)])</f>
        <v>21</v>
      </c>
      <c r="O30">
        <f>MODE(Table146[Weight (g)])</f>
        <v>0.31</v>
      </c>
      <c r="P30">
        <f>MODE(Table146[Thickness (mm)])</f>
        <v>0.73</v>
      </c>
      <c r="Q30">
        <f>MODE(Table146[[Roast Factor ]])</f>
        <v>0.5</v>
      </c>
      <c r="R30">
        <f>MODE(Table146[Area (mm^2)])</f>
        <v>38</v>
      </c>
    </row>
    <row r="31" spans="4:18">
      <c r="D31" s="1" t="s">
        <v>13</v>
      </c>
      <c r="E31" s="1">
        <f>MAX(Table1[Weight (g)])-MIN(Table1[Weight (g)])</f>
        <v>0.27</v>
      </c>
      <c r="F31" s="1">
        <f>MAX(Table1[Thickness (mm)])-MIN(Table1[Thickness (mm)])</f>
        <v>0.64</v>
      </c>
      <c r="G31" s="1">
        <f>MAX(Table1[[Roast Factor ]])-MIN(Table1[[Roast Factor ]])</f>
        <v>0.62999999999999989</v>
      </c>
      <c r="H31" s="1">
        <f>MAX(Table1[Area (mm^2)])-MIN(Table1[Area (mm^2)])</f>
        <v>12</v>
      </c>
      <c r="J31" s="1">
        <f>MAX(Table14[Weight (g)])-MIN(Table14[Weight (g)])</f>
        <v>0.22000000000000003</v>
      </c>
      <c r="K31" s="1">
        <f>MAX(Table14[Thickness (mm)])-MIN(Table14[Thickness (mm)])</f>
        <v>1.59</v>
      </c>
      <c r="L31" s="1">
        <f>MAX(Table14[[Roast Factor ]])-MIN(Table14[[Roast Factor ]])</f>
        <v>0.78</v>
      </c>
      <c r="M31" s="1">
        <f>MAX(Table14[Area (mm^2)])-MIN(Table14[Area (mm^2)])</f>
        <v>29</v>
      </c>
      <c r="N31" s="1"/>
      <c r="O31" s="1">
        <f>MAX(Table146[Weight (g)])-MIN(Table146[Weight (g)])</f>
        <v>8.0000000000000016E-2</v>
      </c>
      <c r="P31" s="1">
        <f>MAX(Table146[Thickness (mm)])-MIN(Table146[Thickness (mm)])</f>
        <v>0.10000000000000009</v>
      </c>
      <c r="Q31" s="1">
        <f>MAX(Table146[[Roast Factor ]])-MIN(Table146[[Roast Factor ]])</f>
        <v>0.13</v>
      </c>
      <c r="R31" s="1">
        <f>MAX(Table146[Area (mm^2)])-MIN(Table146[Area (mm^2)])</f>
        <v>10</v>
      </c>
    </row>
    <row r="32" spans="4:18">
      <c r="D32" s="1" t="s">
        <v>14</v>
      </c>
      <c r="E32">
        <f>VAR(Table1[Weight (g)])</f>
        <v>6.2690000000000246E-3</v>
      </c>
      <c r="F32">
        <f>VAR(Table1[Thickness (mm)])</f>
        <v>2.9040999999999945E-2</v>
      </c>
      <c r="G32">
        <f>VAR(Table1[[Roast Factor ]])</f>
        <v>3.7920666666666568E-2</v>
      </c>
      <c r="H32">
        <f>VAR(Table1[Area (mm^2)])</f>
        <v>9.1849999999999987</v>
      </c>
      <c r="J32">
        <f>VAR(Table14[Weight (g)])</f>
        <v>7.2340000000000087E-3</v>
      </c>
      <c r="K32">
        <f>VAR(Table14[Thickness (mm)])</f>
        <v>0.109384</v>
      </c>
      <c r="L32">
        <f>VAR(Table14[[Roast Factor ]])</f>
        <v>5.3000000000000047E-2</v>
      </c>
      <c r="M32">
        <f>VAR(Table14[Area (mm^2)])</f>
        <v>56.785000000000004</v>
      </c>
      <c r="O32">
        <f>VAR(Table146[Weight (g)])</f>
        <v>6.7766666666666669E-4</v>
      </c>
      <c r="P32">
        <f>VAR(Table146[Thickness (mm)])</f>
        <v>8.860000000000018E-4</v>
      </c>
      <c r="Q32">
        <f>VAR(Table146[[Roast Factor ]])</f>
        <v>1.4489999999999987E-3</v>
      </c>
      <c r="R32">
        <f>VAR(Table146[Area (mm^2)])</f>
        <v>6.5000000000000009</v>
      </c>
    </row>
    <row r="33" spans="4:18">
      <c r="D33" s="1" t="s">
        <v>15</v>
      </c>
      <c r="E33">
        <f>STDEV(Table1[Weight (g)])</f>
        <v>7.9177016867270425E-2</v>
      </c>
      <c r="F33">
        <f>STDEV(Table1[Thickness (mm)])</f>
        <v>0.17041420128616025</v>
      </c>
      <c r="G33">
        <f>STDEV(Table1[[Roast Factor ]])</f>
        <v>0.19473229487341479</v>
      </c>
      <c r="H33">
        <f>STDEV(Table1[Area (mm^2)])</f>
        <v>3.0306764921383476</v>
      </c>
      <c r="J33">
        <f>STDEV(Table14[Weight (g)])</f>
        <v>8.5052924699859728E-2</v>
      </c>
      <c r="K33">
        <f>STDEV(Table14[Thickness (mm)])</f>
        <v>0.33073252032420397</v>
      </c>
      <c r="L33">
        <f>STDEV(Table14[[Roast Factor ]])</f>
        <v>0.23021728866442687</v>
      </c>
      <c r="M33">
        <f>STDEV(Table14[Area (mm^2)])</f>
        <v>7.5355822601840137</v>
      </c>
      <c r="O33">
        <f>STDEV(Table146[Weight (g)])</f>
        <v>2.6032031550892579E-2</v>
      </c>
      <c r="P33">
        <f>STDEV(Table146[Thickness (mm)])</f>
        <v>2.9765752132274465E-2</v>
      </c>
      <c r="Q33">
        <f>STDEV(Table146[[Roast Factor ]])</f>
        <v>3.8065732621348547E-2</v>
      </c>
      <c r="R33">
        <f>STDEV(Table146[Area (mm^2)])</f>
        <v>2.5495097567963927</v>
      </c>
    </row>
  </sheetData>
  <pageMargins left="0.7" right="0.7" top="0.75" bottom="0.75" header="0.3" footer="0.3"/>
  <pageSetup orientation="portrait" horizontalDpi="4294967293" verticalDpi="0" r:id="rId1"/>
  <drawing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6D1D4E0F20B14492E0F86A41A21FC3" ma:contentTypeVersion="4" ma:contentTypeDescription="Create a new document." ma:contentTypeScope="" ma:versionID="62b9b9c43d7d9b93a963cbb8dee9aa81">
  <xsd:schema xmlns:xsd="http://www.w3.org/2001/XMLSchema" xmlns:xs="http://www.w3.org/2001/XMLSchema" xmlns:p="http://schemas.microsoft.com/office/2006/metadata/properties" xmlns:ns3="6bfdaf07-d318-450f-95e8-6a92ab9c61e9" targetNamespace="http://schemas.microsoft.com/office/2006/metadata/properties" ma:root="true" ma:fieldsID="7b5b2f1f03bd4a3092728fbf642957d3" ns3:_="">
    <xsd:import namespace="6bfdaf07-d318-450f-95e8-6a92ab9c6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fdaf07-d318-450f-95e8-6a92ab9c6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353453-A80D-4424-852C-1A7DDBCE5C6E}"/>
</file>

<file path=customXml/itemProps2.xml><?xml version="1.0" encoding="utf-8"?>
<ds:datastoreItem xmlns:ds="http://schemas.openxmlformats.org/officeDocument/2006/customXml" ds:itemID="{A2D301CB-BB92-4E2E-89F3-099B49FE4B27}"/>
</file>

<file path=customXml/itemProps3.xml><?xml version="1.0" encoding="utf-8"?>
<ds:datastoreItem xmlns:ds="http://schemas.openxmlformats.org/officeDocument/2006/customXml" ds:itemID="{2897541D-9F8F-409C-9393-4B64F4522B8B}"/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Cadence Kirby</dc:creator>
  <cp:keywords/>
  <dc:description/>
  <cp:lastModifiedBy/>
  <cp:revision/>
  <dcterms:created xsi:type="dcterms:W3CDTF">2023-06-19T21:38:36Z</dcterms:created>
  <dcterms:modified xsi:type="dcterms:W3CDTF">2023-06-28T17:53:03Z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0x0101004A6D1D4E0F20B14492E0F86A41A21FC3</vt:lpwstr>
  </property>
</Properties>
</file>