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13_ncr:1_{5514628D-7856-4D4B-B3D7-7D8A5AAC33D9}" xr6:coauthVersionLast="47" xr6:coauthVersionMax="47" xr10:uidLastSave="{00000000-0000-0000-0000-000000000000}"/>
  <bookViews>
    <workbookView xWindow="-120" yWindow="-120" windowWidth="29040" windowHeight="15840"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45" i="7" l="1"/>
  <c r="AE249" i="7"/>
  <c r="AC253" i="7"/>
  <c r="AH20" i="7"/>
  <c r="AH248"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D12" i="2" s="1"/>
  <c r="C14" i="3" s="1"/>
  <c r="E14" i="3" s="1"/>
  <c r="B24" i="2"/>
  <c r="B26" i="3" s="1"/>
  <c r="H12" i="4"/>
  <c r="C24" i="2"/>
  <c r="AH990" i="7"/>
  <c r="AH994" i="7"/>
  <c r="AH998" i="7"/>
  <c r="K8" i="4"/>
  <c r="K7" i="4"/>
  <c r="C10" i="2"/>
  <c r="B10" i="2"/>
  <c r="B12" i="3" s="1"/>
  <c r="K9" i="4"/>
  <c r="C14" i="2"/>
  <c r="D14" i="2" s="1"/>
  <c r="C16" i="3" s="1"/>
  <c r="E16" i="3" s="1"/>
  <c r="B15" i="4"/>
  <c r="B14" i="2"/>
  <c r="B16" i="3" s="1"/>
  <c r="B14" i="4"/>
  <c r="B13" i="4"/>
  <c r="B12" i="4"/>
  <c r="C23" i="2"/>
  <c r="B23" i="2"/>
  <c r="Q9" i="4"/>
  <c r="Q8" i="4"/>
  <c r="Q7" i="4"/>
  <c r="C5" i="2"/>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20" i="3"/>
  <c r="D18" i="2"/>
  <c r="C20" i="3" s="1"/>
  <c r="E20"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4" i="11" l="1"/>
  <c r="C4" i="11"/>
  <c r="D6" i="11"/>
  <c r="C6" i="11"/>
  <c r="N10" i="3"/>
  <c r="D8" i="11"/>
  <c r="C8" i="11"/>
  <c r="D3" i="11"/>
  <c r="C3" i="11"/>
  <c r="C5" i="11"/>
  <c r="D5" i="11"/>
  <c r="D7" i="11"/>
  <c r="C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<sst xmlns="http://schemas.openxmlformats.org/spreadsheetml/2006/main" count="2502" uniqueCount="2204">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</sst>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26" fillId="0" borderId="0" xfId="0" applyFont="1" applyAlignment="1">
      <alignment horizontal="center" vertical="center"/>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1.625</c:v>
                </c:pt>
                <c:pt idx="1">
                  <c:v>2.625</c:v>
                </c:pt>
                <c:pt idx="2">
                  <c:v>2.25</c:v>
                </c:pt>
                <c:pt idx="3">
                  <c:v>1.75</c:v>
                </c:pt>
                <c:pt idx="4">
                  <c:v>2.375</c:v>
                </c:pt>
                <c:pt idx="5">
                  <c:v>2.5</c:v>
                </c:pt>
                <c:pt idx="6">
                  <c:v>2.5</c:v>
                </c:pt>
                <c:pt idx="7">
                  <c:v>0.125</c:v>
                </c:pt>
                <c:pt idx="8">
                  <c:v>0.125</c:v>
                </c:pt>
                <c:pt idx="9">
                  <c:v>1.875</c:v>
                </c:pt>
                <c:pt idx="10">
                  <c:v>1.625</c:v>
                </c:pt>
                <c:pt idx="11">
                  <c:v>2</c:v>
                </c:pt>
                <c:pt idx="12">
                  <c:v>-0.375</c:v>
                </c:pt>
                <c:pt idx="13">
                  <c:v>2.25</c:v>
                </c:pt>
                <c:pt idx="14">
                  <c:v>2</c:v>
                </c:pt>
                <c:pt idx="15">
                  <c:v>2.125</c:v>
                </c:pt>
                <c:pt idx="16">
                  <c:v>2.125</c:v>
                </c:pt>
                <c:pt idx="17">
                  <c:v>2.125</c:v>
                </c:pt>
                <c:pt idx="18">
                  <c:v>1.5</c:v>
                </c:pt>
                <c:pt idx="19">
                  <c:v>1.25</c:v>
                </c:pt>
                <c:pt idx="20">
                  <c:v>2.375</c:v>
                </c:pt>
                <c:pt idx="21">
                  <c:v>2.375</c:v>
                </c:pt>
                <c:pt idx="22">
                  <c:v>2.125</c:v>
                </c:pt>
                <c:pt idx="23">
                  <c:v>2.25</c:v>
                </c:pt>
                <c:pt idx="24">
                  <c:v>1.5</c:v>
                </c:pt>
                <c:pt idx="25">
                  <c:v>2.375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plus>
            <c:minus>
              <c:numRef>
                <c:f>Confidence_Intervals!$M$5:$M$10</c:f>
                <c:numCache>
                  <c:formatCode>General</c:formatCode>
                  <c:ptCount val="6"/>
                  <c:pt idx="0">
                    <c:v>0.6165584825987902</c:v>
                  </c:pt>
                  <c:pt idx="1">
                    <c:v>0.40296785812341052</c:v>
                  </c:pt>
                  <c:pt idx="2">
                    <c:v>0.73169794753168083</c:v>
                  </c:pt>
                  <c:pt idx="3">
                    <c:v>0.62761420164487269</c:v>
                  </c:pt>
                  <c:pt idx="4">
                    <c:v>0.42434465027856422</c:v>
                  </c:pt>
                  <c:pt idx="5">
                    <c:v>0.55559756590030995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1.9583333333333333</c:v>
                </c:pt>
                <c:pt idx="1">
                  <c:v>1.59375</c:v>
                </c:pt>
                <c:pt idx="2">
                  <c:v>1.46875</c:v>
                </c:pt>
                <c:pt idx="3">
                  <c:v>1.34375</c:v>
                </c:pt>
                <c:pt idx="4">
                  <c:v>2.375</c:v>
                </c:pt>
                <c:pt idx="5">
                  <c:v>2.125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1.9583333333333333</c:v>
                </c:pt>
                <c:pt idx="1">
                  <c:v>1.59375</c:v>
                </c:pt>
                <c:pt idx="2">
                  <c:v>1.46875</c:v>
                </c:pt>
                <c:pt idx="3">
                  <c:v>1.34375</c:v>
                </c:pt>
                <c:pt idx="4">
                  <c:v>2.375</c:v>
                </c:pt>
                <c:pt idx="5">
                  <c:v>2.125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1.9583333333333333</c:v>
                </c:pt>
                <c:pt idx="1">
                  <c:v>1.46875</c:v>
                </c:pt>
                <c:pt idx="2">
                  <c:v>2.25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c:v>
                </c:pt>
                <c:pt idx="1">
                  <c:v>0</c:v>
                </c:pt>
                <c:pt idx="2">
                  <c:v>0</c:v>
                </c:pt>
                <c:pt idx="3">
                  <c:v>0</c:v>
                </c:pt>
                <c:pt idx="4">
                  <c:v>0</c:v>
                </c:pt>
                <c:pt idx="5">
                  <c:v>0</c:v>
                </c:pt>
                <c:pt idx="6">
                  <c:v>0</c:v>
                </c:pt>
                <c:pt idx="7">
                  <c:v>0</c:v>
                </c:pt>
                <c:pt idx="8">
                  <c:v>2</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1</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4</c:v>
                </c:pt>
                <c:pt idx="8">
                  <c:v>2</c:v>
                </c:pt>
                <c:pt idx="9">
                  <c:v>0</c:v>
                </c:pt>
                <c:pt idx="10">
                  <c:v>0</c:v>
                </c:pt>
                <c:pt idx="11">
                  <c:v>0</c:v>
                </c:pt>
                <c:pt idx="12">
                  <c:v>2</c:v>
                </c:pt>
                <c:pt idx="13">
                  <c:v>0</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1</c:v>
                </c:pt>
                <c:pt idx="4">
                  <c:v>0</c:v>
                </c:pt>
                <c:pt idx="5">
                  <c:v>0</c:v>
                </c:pt>
                <c:pt idx="6">
                  <c:v>0</c:v>
                </c:pt>
                <c:pt idx="7">
                  <c:v>0</c:v>
                </c:pt>
                <c:pt idx="8">
                  <c:v>1</c:v>
                </c:pt>
                <c:pt idx="9">
                  <c:v>1</c:v>
                </c:pt>
                <c:pt idx="10">
                  <c:v>1</c:v>
                </c:pt>
                <c:pt idx="11">
                  <c:v>1</c:v>
                </c:pt>
                <c:pt idx="12">
                  <c:v>0</c:v>
                </c:pt>
                <c:pt idx="13">
                  <c:v>0</c:v>
                </c:pt>
                <c:pt idx="14">
                  <c:v>1</c:v>
                </c:pt>
                <c:pt idx="15">
                  <c:v>0</c:v>
                </c:pt>
                <c:pt idx="16">
                  <c:v>1</c:v>
                </c:pt>
                <c:pt idx="17">
                  <c:v>1</c:v>
                </c:pt>
                <c:pt idx="18">
                  <c:v>3</c:v>
                </c:pt>
                <c:pt idx="19">
                  <c:v>1</c:v>
                </c:pt>
                <c:pt idx="20">
                  <c:v>0</c:v>
                </c:pt>
                <c:pt idx="21">
                  <c:v>0</c:v>
                </c:pt>
                <c:pt idx="22">
                  <c:v>1</c:v>
                </c:pt>
                <c:pt idx="23">
                  <c:v>0</c:v>
                </c:pt>
                <c:pt idx="24">
                  <c:v>1</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1</c:v>
                </c:pt>
                <c:pt idx="3">
                  <c:v>1</c:v>
                </c:pt>
                <c:pt idx="4">
                  <c:v>1</c:v>
                </c:pt>
                <c:pt idx="5">
                  <c:v>1</c:v>
                </c:pt>
                <c:pt idx="6">
                  <c:v>1</c:v>
                </c:pt>
                <c:pt idx="7">
                  <c:v>3</c:v>
                </c:pt>
                <c:pt idx="8">
                  <c:v>1</c:v>
                </c:pt>
                <c:pt idx="9">
                  <c:v>2</c:v>
                </c:pt>
                <c:pt idx="10">
                  <c:v>3</c:v>
                </c:pt>
                <c:pt idx="11">
                  <c:v>1</c:v>
                </c:pt>
                <c:pt idx="12">
                  <c:v>4</c:v>
                </c:pt>
                <c:pt idx="13">
                  <c:v>1</c:v>
                </c:pt>
                <c:pt idx="14">
                  <c:v>2</c:v>
                </c:pt>
                <c:pt idx="15">
                  <c:v>2</c:v>
                </c:pt>
                <c:pt idx="16">
                  <c:v>0</c:v>
                </c:pt>
                <c:pt idx="17">
                  <c:v>1</c:v>
                </c:pt>
                <c:pt idx="18">
                  <c:v>0</c:v>
                </c:pt>
                <c:pt idx="19">
                  <c:v>3</c:v>
                </c:pt>
                <c:pt idx="20">
                  <c:v>0</c:v>
                </c:pt>
                <c:pt idx="21">
                  <c:v>1</c:v>
                </c:pt>
                <c:pt idx="22">
                  <c:v>0</c:v>
                </c:pt>
                <c:pt idx="23">
                  <c:v>3</c:v>
                </c:pt>
                <c:pt idx="24">
                  <c:v>1</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4</c:v>
                </c:pt>
                <c:pt idx="1">
                  <c:v>3</c:v>
                </c:pt>
                <c:pt idx="2">
                  <c:v>4</c:v>
                </c:pt>
                <c:pt idx="3">
                  <c:v>5</c:v>
                </c:pt>
                <c:pt idx="4">
                  <c:v>3</c:v>
                </c:pt>
                <c:pt idx="5">
                  <c:v>2</c:v>
                </c:pt>
                <c:pt idx="6">
                  <c:v>2</c:v>
                </c:pt>
                <c:pt idx="7">
                  <c:v>1</c:v>
                </c:pt>
                <c:pt idx="8">
                  <c:v>0</c:v>
                </c:pt>
                <c:pt idx="9">
                  <c:v>2</c:v>
                </c:pt>
                <c:pt idx="10">
                  <c:v>2</c:v>
                </c:pt>
                <c:pt idx="11">
                  <c:v>3</c:v>
                </c:pt>
                <c:pt idx="12">
                  <c:v>0</c:v>
                </c:pt>
                <c:pt idx="13">
                  <c:v>4</c:v>
                </c:pt>
                <c:pt idx="14">
                  <c:v>1</c:v>
                </c:pt>
                <c:pt idx="15">
                  <c:v>3</c:v>
                </c:pt>
                <c:pt idx="16">
                  <c:v>4</c:v>
                </c:pt>
                <c:pt idx="17">
                  <c:v>2</c:v>
                </c:pt>
                <c:pt idx="18">
                  <c:v>3</c:v>
                </c:pt>
                <c:pt idx="19">
                  <c:v>1</c:v>
                </c:pt>
                <c:pt idx="20">
                  <c:v>5</c:v>
                </c:pt>
                <c:pt idx="21">
                  <c:v>3</c:v>
                </c:pt>
                <c:pt idx="22">
                  <c:v>4</c:v>
                </c:pt>
                <c:pt idx="23">
                  <c:v>0</c:v>
                </c:pt>
                <c:pt idx="24">
                  <c:v>2</c:v>
                </c:pt>
                <c:pt idx="25">
                  <c:v>3</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2</c:v>
                </c:pt>
                <c:pt idx="1">
                  <c:v>5</c:v>
                </c:pt>
                <c:pt idx="2">
                  <c:v>3</c:v>
                </c:pt>
                <c:pt idx="3">
                  <c:v>1</c:v>
                </c:pt>
                <c:pt idx="4">
                  <c:v>4</c:v>
                </c:pt>
                <c:pt idx="5">
                  <c:v>5</c:v>
                </c:pt>
                <c:pt idx="6">
                  <c:v>5</c:v>
                </c:pt>
                <c:pt idx="7">
                  <c:v>0</c:v>
                </c:pt>
                <c:pt idx="8">
                  <c:v>2</c:v>
                </c:pt>
                <c:pt idx="9">
                  <c:v>3</c:v>
                </c:pt>
                <c:pt idx="10">
                  <c:v>2</c:v>
                </c:pt>
                <c:pt idx="11">
                  <c:v>3</c:v>
                </c:pt>
                <c:pt idx="12">
                  <c:v>0</c:v>
                </c:pt>
                <c:pt idx="13">
                  <c:v>3</c:v>
                </c:pt>
                <c:pt idx="14">
                  <c:v>4</c:v>
                </c:pt>
                <c:pt idx="15">
                  <c:v>3</c:v>
                </c:pt>
                <c:pt idx="16">
                  <c:v>3</c:v>
                </c:pt>
                <c:pt idx="17">
                  <c:v>4</c:v>
                </c:pt>
                <c:pt idx="18">
                  <c:v>2</c:v>
                </c:pt>
                <c:pt idx="19">
                  <c:v>2</c:v>
                </c:pt>
                <c:pt idx="20">
                  <c:v>3</c:v>
                </c:pt>
                <c:pt idx="21">
                  <c:v>4</c:v>
                </c:pt>
                <c:pt idx="22">
                  <c:v>3</c:v>
                </c:pt>
                <c:pt idx="23">
                  <c:v>5</c:v>
                </c:pt>
                <c:pt idx="24">
                  <c:v>3</c:v>
                </c:pt>
                <c:pt idx="25">
                  <c:v>4</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1.9583333333333333</c:v>
                </c:pt>
                <c:pt idx="1">
                  <c:v>1.59375</c:v>
                </c:pt>
                <c:pt idx="2">
                  <c:v>1.46875</c:v>
                </c:pt>
                <c:pt idx="3">
                  <c:v>1.34375</c:v>
                </c:pt>
                <c:pt idx="4">
                  <c:v>2.375</c:v>
                </c:pt>
                <c:pt idx="5">
                  <c:v>2.125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9"/>
      <c r="B1" s="159"/>
      <c r="C1" s="159"/>
    </row>
    <row r="2" spans="1:3" ht="58.7" customHeight="1">
      <c r="A2" s="155" t="s">
        <v>1292</v>
      </c>
      <c r="B2" s="155"/>
      <c r="C2" s="155"/>
    </row>
    <row r="3" spans="1:3" ht="107.25" customHeight="1">
      <c r="A3" s="156" t="s">
        <v>1280</v>
      </c>
      <c r="B3" s="156"/>
      <c r="C3" s="156"/>
    </row>
    <row r="5" spans="1:3" ht="18.75">
      <c r="A5" s="34" t="s">
        <v>818</v>
      </c>
      <c r="B5" s="65" t="s">
        <v>128</v>
      </c>
    </row>
    <row r="7" spans="1:3" ht="30.75" customHeight="1">
      <c r="A7" s="157" t="s">
        <v>1291</v>
      </c>
      <c r="B7" s="157"/>
      <c r="C7" s="157"/>
    </row>
    <row r="9" spans="1:3" ht="406.35" customHeight="1">
      <c r="A9" s="158" t="s">
        <v>1290</v>
      </c>
      <c r="B9" s="158"/>
      <c r="C9" s="158"/>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4" sqref="A4:Z11"/>
    </sheetView>
  </sheetViews>
  <sheetFormatPr defaultColWidth="9.140625" defaultRowHeight="15"/>
  <cols>
    <col min="1" max="26" width="3.5703125" style="1" customWidth="1"/>
  </cols>
  <sheetData>
    <row r="1" spans="1:27" ht="144" customHeight="1">
      <c r="A1" s="160" t="s">
        <v>1281</v>
      </c>
      <c r="B1" s="161"/>
      <c r="C1" s="161"/>
      <c r="D1" s="161"/>
      <c r="E1" s="161"/>
      <c r="F1" s="161"/>
      <c r="G1" s="161"/>
      <c r="H1" s="161"/>
      <c r="I1" s="161"/>
      <c r="J1" s="161"/>
      <c r="K1" s="161"/>
      <c r="L1" s="161"/>
      <c r="M1" s="161"/>
      <c r="N1" s="161"/>
      <c r="O1" s="161"/>
      <c r="P1" s="161"/>
      <c r="Q1" s="161"/>
      <c r="R1" s="161"/>
      <c r="S1" s="161"/>
      <c r="T1" s="161"/>
      <c r="U1" s="161"/>
      <c r="V1" s="161"/>
      <c r="W1" s="161"/>
      <c r="X1" s="161"/>
      <c r="Y1" s="161"/>
      <c r="Z1" s="161"/>
    </row>
    <row r="2" spans="1:27">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90">
        <v>6</v>
      </c>
      <c r="B4" s="190">
        <v>7</v>
      </c>
      <c r="C4" s="190">
        <v>2</v>
      </c>
      <c r="D4" s="190">
        <v>1</v>
      </c>
      <c r="E4" s="190">
        <v>1</v>
      </c>
      <c r="F4" s="190">
        <v>7</v>
      </c>
      <c r="G4" s="190">
        <v>7</v>
      </c>
      <c r="H4" s="190">
        <v>3</v>
      </c>
      <c r="I4" s="190">
        <v>1</v>
      </c>
      <c r="J4" s="190">
        <v>3</v>
      </c>
      <c r="K4" s="190">
        <v>6</v>
      </c>
      <c r="L4" s="190">
        <v>1</v>
      </c>
      <c r="M4" s="190">
        <v>5</v>
      </c>
      <c r="N4" s="190">
        <v>7</v>
      </c>
      <c r="O4" s="190">
        <v>7</v>
      </c>
      <c r="P4" s="190">
        <v>7</v>
      </c>
      <c r="Q4" s="190">
        <v>1</v>
      </c>
      <c r="R4" s="190">
        <v>2</v>
      </c>
      <c r="S4" s="190">
        <v>1</v>
      </c>
      <c r="T4" s="190">
        <v>7</v>
      </c>
      <c r="U4" s="190">
        <v>2</v>
      </c>
      <c r="V4" s="190">
        <v>7</v>
      </c>
      <c r="W4" s="190">
        <v>2</v>
      </c>
      <c r="X4" s="190">
        <v>1</v>
      </c>
      <c r="Y4" s="190">
        <v>1</v>
      </c>
      <c r="Z4" s="190">
        <v>6</v>
      </c>
    </row>
    <row r="5" spans="1:27">
      <c r="A5" s="190">
        <v>5</v>
      </c>
      <c r="B5" s="190">
        <v>6</v>
      </c>
      <c r="C5" s="190">
        <v>3</v>
      </c>
      <c r="D5" s="190">
        <v>2</v>
      </c>
      <c r="E5" s="190">
        <v>3</v>
      </c>
      <c r="F5" s="190">
        <v>6</v>
      </c>
      <c r="G5" s="190">
        <v>6</v>
      </c>
      <c r="H5" s="190">
        <v>3</v>
      </c>
      <c r="I5" s="190">
        <v>6</v>
      </c>
      <c r="J5" s="190">
        <v>2</v>
      </c>
      <c r="K5" s="190">
        <v>5</v>
      </c>
      <c r="L5" s="190">
        <v>2</v>
      </c>
      <c r="M5" s="190">
        <v>2</v>
      </c>
      <c r="N5" s="190">
        <v>6</v>
      </c>
      <c r="O5" s="190">
        <v>5</v>
      </c>
      <c r="P5" s="190">
        <v>6</v>
      </c>
      <c r="Q5" s="190">
        <v>2</v>
      </c>
      <c r="R5" s="190">
        <v>1</v>
      </c>
      <c r="S5" s="190">
        <v>4</v>
      </c>
      <c r="T5" s="190">
        <v>3</v>
      </c>
      <c r="U5" s="190">
        <v>2</v>
      </c>
      <c r="V5" s="190">
        <v>5</v>
      </c>
      <c r="W5" s="190">
        <v>1</v>
      </c>
      <c r="X5" s="190">
        <v>3</v>
      </c>
      <c r="Y5" s="190">
        <v>4</v>
      </c>
      <c r="Z5" s="190">
        <v>6</v>
      </c>
    </row>
    <row r="6" spans="1:27">
      <c r="A6" s="190">
        <v>7</v>
      </c>
      <c r="B6" s="190">
        <v>7</v>
      </c>
      <c r="C6" s="190">
        <v>1</v>
      </c>
      <c r="D6" s="190">
        <v>2</v>
      </c>
      <c r="E6" s="190">
        <v>1</v>
      </c>
      <c r="F6" s="190">
        <v>7</v>
      </c>
      <c r="G6" s="190">
        <v>7</v>
      </c>
      <c r="H6" s="190">
        <v>5</v>
      </c>
      <c r="I6" s="190">
        <v>1</v>
      </c>
      <c r="J6" s="190">
        <v>1</v>
      </c>
      <c r="K6" s="190">
        <v>7</v>
      </c>
      <c r="L6" s="190">
        <v>1</v>
      </c>
      <c r="M6" s="190">
        <v>5</v>
      </c>
      <c r="N6" s="190">
        <v>7</v>
      </c>
      <c r="O6" s="190">
        <v>6</v>
      </c>
      <c r="P6" s="190">
        <v>7</v>
      </c>
      <c r="Q6" s="190">
        <v>1</v>
      </c>
      <c r="R6" s="190">
        <v>1</v>
      </c>
      <c r="S6" s="190">
        <v>1</v>
      </c>
      <c r="T6" s="190">
        <v>6</v>
      </c>
      <c r="U6" s="190">
        <v>2</v>
      </c>
      <c r="V6" s="190">
        <v>7</v>
      </c>
      <c r="W6" s="190">
        <v>1</v>
      </c>
      <c r="X6" s="190">
        <v>1</v>
      </c>
      <c r="Y6" s="190">
        <v>1</v>
      </c>
      <c r="Z6" s="190">
        <v>7</v>
      </c>
    </row>
    <row r="7" spans="1:27">
      <c r="A7" s="190">
        <v>6</v>
      </c>
      <c r="B7" s="190">
        <v>6</v>
      </c>
      <c r="C7" s="190">
        <v>2</v>
      </c>
      <c r="D7" s="190">
        <v>3</v>
      </c>
      <c r="E7" s="190">
        <v>2</v>
      </c>
      <c r="F7" s="190">
        <v>6</v>
      </c>
      <c r="G7" s="190">
        <v>6</v>
      </c>
      <c r="H7" s="190">
        <v>6</v>
      </c>
      <c r="I7" s="190">
        <v>5</v>
      </c>
      <c r="J7" s="190">
        <v>3</v>
      </c>
      <c r="K7" s="190">
        <v>5</v>
      </c>
      <c r="L7" s="190">
        <v>4</v>
      </c>
      <c r="M7" s="190">
        <v>3</v>
      </c>
      <c r="N7" s="190">
        <v>6</v>
      </c>
      <c r="O7" s="190">
        <v>4</v>
      </c>
      <c r="P7" s="190">
        <v>5</v>
      </c>
      <c r="Q7" s="190">
        <v>2</v>
      </c>
      <c r="R7" s="190">
        <v>2</v>
      </c>
      <c r="S7" s="190">
        <v>4</v>
      </c>
      <c r="T7" s="190">
        <v>4</v>
      </c>
      <c r="U7" s="190">
        <v>2</v>
      </c>
      <c r="V7" s="190">
        <v>6</v>
      </c>
      <c r="W7" s="190">
        <v>2</v>
      </c>
      <c r="X7" s="190">
        <v>3</v>
      </c>
      <c r="Y7" s="190">
        <v>3</v>
      </c>
      <c r="Z7" s="190">
        <v>5</v>
      </c>
    </row>
    <row r="8" spans="1:27">
      <c r="A8" s="190">
        <v>6</v>
      </c>
      <c r="B8" s="190">
        <v>7</v>
      </c>
      <c r="C8" s="190">
        <v>1</v>
      </c>
      <c r="D8" s="190">
        <v>4</v>
      </c>
      <c r="E8" s="190">
        <v>2</v>
      </c>
      <c r="F8" s="190">
        <v>7</v>
      </c>
      <c r="G8" s="190">
        <v>7</v>
      </c>
      <c r="H8" s="190">
        <v>5</v>
      </c>
      <c r="I8" s="190">
        <v>4</v>
      </c>
      <c r="J8" s="190">
        <v>1</v>
      </c>
      <c r="K8" s="190">
        <v>7</v>
      </c>
      <c r="L8" s="190">
        <v>2</v>
      </c>
      <c r="M8" s="190">
        <v>3</v>
      </c>
      <c r="N8" s="190">
        <v>6</v>
      </c>
      <c r="O8" s="190">
        <v>7</v>
      </c>
      <c r="P8" s="190">
        <v>5</v>
      </c>
      <c r="Q8" s="190">
        <v>2</v>
      </c>
      <c r="R8" s="190">
        <v>1</v>
      </c>
      <c r="S8" s="190">
        <v>2</v>
      </c>
      <c r="T8" s="190">
        <v>5</v>
      </c>
      <c r="U8" s="190">
        <v>1</v>
      </c>
      <c r="V8" s="190">
        <v>7</v>
      </c>
      <c r="W8" s="190">
        <v>2</v>
      </c>
      <c r="X8" s="190">
        <v>1</v>
      </c>
      <c r="Y8" s="190">
        <v>2</v>
      </c>
      <c r="Z8" s="190">
        <v>7</v>
      </c>
    </row>
    <row r="9" spans="1:27">
      <c r="A9" s="190">
        <v>6</v>
      </c>
      <c r="B9" s="190">
        <v>6</v>
      </c>
      <c r="C9" s="190">
        <v>1</v>
      </c>
      <c r="D9" s="190">
        <v>2</v>
      </c>
      <c r="E9" s="190">
        <v>2</v>
      </c>
      <c r="F9" s="190">
        <v>7</v>
      </c>
      <c r="G9" s="190">
        <v>7</v>
      </c>
      <c r="H9" s="190">
        <v>3</v>
      </c>
      <c r="I9" s="190">
        <v>5</v>
      </c>
      <c r="J9" s="190">
        <v>1</v>
      </c>
      <c r="K9" s="190">
        <v>5</v>
      </c>
      <c r="L9" s="190">
        <v>2</v>
      </c>
      <c r="M9" s="190">
        <v>5</v>
      </c>
      <c r="N9" s="190">
        <v>6</v>
      </c>
      <c r="O9" s="190">
        <v>7</v>
      </c>
      <c r="P9" s="190">
        <v>6</v>
      </c>
      <c r="Q9" s="190">
        <v>2</v>
      </c>
      <c r="R9" s="190">
        <v>3</v>
      </c>
      <c r="S9" s="190">
        <v>2</v>
      </c>
      <c r="T9" s="190">
        <v>5</v>
      </c>
      <c r="U9" s="190">
        <v>1</v>
      </c>
      <c r="V9" s="190">
        <v>6</v>
      </c>
      <c r="W9" s="190">
        <v>4</v>
      </c>
      <c r="X9" s="190">
        <v>1</v>
      </c>
      <c r="Y9" s="190">
        <v>2</v>
      </c>
      <c r="Z9" s="190">
        <v>7</v>
      </c>
    </row>
    <row r="10" spans="1:27">
      <c r="A10" s="190">
        <v>2</v>
      </c>
      <c r="B10" s="190">
        <v>7</v>
      </c>
      <c r="C10" s="190">
        <v>2</v>
      </c>
      <c r="D10" s="190">
        <v>2</v>
      </c>
      <c r="E10" s="190">
        <v>1</v>
      </c>
      <c r="F10" s="190">
        <v>5</v>
      </c>
      <c r="G10" s="190">
        <v>5</v>
      </c>
      <c r="H10" s="190">
        <v>3</v>
      </c>
      <c r="I10" s="190">
        <v>6</v>
      </c>
      <c r="J10" s="190">
        <v>4</v>
      </c>
      <c r="K10" s="190">
        <v>4</v>
      </c>
      <c r="L10" s="190">
        <v>1</v>
      </c>
      <c r="M10" s="190">
        <v>1</v>
      </c>
      <c r="N10" s="190">
        <v>5</v>
      </c>
      <c r="O10" s="190">
        <v>5</v>
      </c>
      <c r="P10" s="190">
        <v>6</v>
      </c>
      <c r="Q10" s="190">
        <v>4</v>
      </c>
      <c r="R10" s="190">
        <v>4</v>
      </c>
      <c r="S10" s="190">
        <v>4</v>
      </c>
      <c r="T10" s="190">
        <v>5</v>
      </c>
      <c r="U10" s="190">
        <v>2</v>
      </c>
      <c r="V10" s="190">
        <v>6</v>
      </c>
      <c r="W10" s="190">
        <v>2</v>
      </c>
      <c r="X10" s="190">
        <v>3</v>
      </c>
      <c r="Y10" s="190">
        <v>6</v>
      </c>
      <c r="Z10" s="190">
        <v>6</v>
      </c>
    </row>
    <row r="11" spans="1:27">
      <c r="A11" s="190">
        <v>7</v>
      </c>
      <c r="B11" s="190">
        <v>7</v>
      </c>
      <c r="C11" s="190">
        <v>2</v>
      </c>
      <c r="D11" s="190">
        <v>2</v>
      </c>
      <c r="E11" s="190">
        <v>1</v>
      </c>
      <c r="F11" s="190">
        <v>7</v>
      </c>
      <c r="G11" s="190">
        <v>7</v>
      </c>
      <c r="H11" s="190">
        <v>5</v>
      </c>
      <c r="I11" s="190">
        <v>3</v>
      </c>
      <c r="J11" s="190">
        <v>2</v>
      </c>
      <c r="K11" s="190">
        <v>6</v>
      </c>
      <c r="L11" s="190">
        <v>3</v>
      </c>
      <c r="M11" s="190">
        <v>5</v>
      </c>
      <c r="N11" s="190">
        <v>7</v>
      </c>
      <c r="O11" s="190">
        <v>7</v>
      </c>
      <c r="P11" s="190">
        <v>7</v>
      </c>
      <c r="Q11" s="190">
        <v>1</v>
      </c>
      <c r="R11" s="190">
        <v>1</v>
      </c>
      <c r="S11" s="190">
        <v>2</v>
      </c>
      <c r="T11" s="190">
        <v>7</v>
      </c>
      <c r="U11" s="190">
        <v>1</v>
      </c>
      <c r="V11" s="190">
        <v>7</v>
      </c>
      <c r="W11" s="190">
        <v>1</v>
      </c>
      <c r="X11" s="190">
        <v>1</v>
      </c>
      <c r="Y11" s="190">
        <v>1</v>
      </c>
      <c r="Z11" s="190">
        <v>7</v>
      </c>
    </row>
    <row r="12" spans="1:27">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140625" defaultRowHeight="15"/>
  <cols>
    <col min="1" max="26" width="3.5703125" style="1" customWidth="1"/>
    <col min="27" max="28" width="4.42578125" customWidth="1"/>
    <col min="29" max="34" width="13.85546875" style="1" customWidth="1"/>
  </cols>
  <sheetData>
    <row r="1" spans="1:34" ht="96" customHeight="1">
      <c r="A1" s="163" t="s">
        <v>819</v>
      </c>
      <c r="B1" s="164"/>
      <c r="C1" s="164"/>
      <c r="D1" s="164"/>
      <c r="E1" s="164"/>
      <c r="F1" s="164"/>
      <c r="G1" s="164"/>
      <c r="H1" s="164"/>
      <c r="I1" s="164"/>
      <c r="J1" s="164"/>
      <c r="K1" s="164"/>
      <c r="L1" s="164"/>
      <c r="M1" s="164"/>
      <c r="N1" s="164"/>
      <c r="O1" s="164"/>
      <c r="P1" s="164"/>
      <c r="Q1" s="164"/>
      <c r="R1" s="164"/>
      <c r="S1" s="164"/>
      <c r="T1" s="164"/>
      <c r="U1" s="164"/>
      <c r="V1" s="164"/>
      <c r="W1" s="164"/>
      <c r="X1" s="164"/>
      <c r="Y1" s="164"/>
      <c r="Z1" s="165"/>
      <c r="AA1" s="15"/>
      <c r="AB1" s="15"/>
      <c r="AC1" s="168"/>
      <c r="AD1" s="168"/>
      <c r="AE1" s="168"/>
      <c r="AF1" s="168"/>
      <c r="AG1" s="168"/>
      <c r="AH1" s="168"/>
    </row>
    <row r="2" spans="1:34">
      <c r="A2" s="166" t="s">
        <v>0</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C2" s="167" t="s">
        <v>1288</v>
      </c>
      <c r="AD2" s="167"/>
      <c r="AE2" s="167"/>
      <c r="AF2" s="167"/>
      <c r="AG2" s="167"/>
      <c r="AH2" s="167"/>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2</v>
      </c>
      <c r="D4" s="68">
        <f>IF(Data!D4&gt;0,4-Data!D4,"")</f>
        <v>3</v>
      </c>
      <c r="E4" s="68">
        <f>IF(Data!E4&gt;0,4-Data!E4,"")</f>
        <v>3</v>
      </c>
      <c r="F4" s="68">
        <f>IF(Data!F4&gt;0,Data!F4-4,"")</f>
        <v>3</v>
      </c>
      <c r="G4" s="68">
        <f>IF(Data!G4&gt;0,Data!G4-4,"")</f>
        <v>3</v>
      </c>
      <c r="H4" s="68">
        <f>IF(Data!H4&gt;0,Data!H4-4,"")</f>
        <v>-1</v>
      </c>
      <c r="I4" s="68">
        <f>IF(Data!I4&gt;0,4-Data!I4,"")</f>
        <v>3</v>
      </c>
      <c r="J4" s="68">
        <f>IF(Data!J4&gt;0,4-Data!J4,"")</f>
        <v>1</v>
      </c>
      <c r="K4" s="68">
        <f>IF(Data!K4&gt;0,Data!K4-4,"")</f>
        <v>2</v>
      </c>
      <c r="L4" s="68">
        <f>IF(Data!L4&gt;0,4-Data!L4,"")</f>
        <v>3</v>
      </c>
      <c r="M4" s="68">
        <f>IF(Data!M4&gt;0,Data!M4-4,"")</f>
        <v>1</v>
      </c>
      <c r="N4" s="68">
        <f>IF(Data!N4&gt;0,Data!N4-4,"")</f>
        <v>3</v>
      </c>
      <c r="O4" s="68">
        <f>IF(Data!O4&gt;0,Data!O4-4,"")</f>
        <v>3</v>
      </c>
      <c r="P4" s="68">
        <f>IF(Data!P4&gt;0,Data!P4-4,"")</f>
        <v>3</v>
      </c>
      <c r="Q4" s="68">
        <f>IF(Data!Q4&gt;0,4-Data!Q4,"")</f>
        <v>3</v>
      </c>
      <c r="R4" s="68">
        <f>IF(Data!R4&gt;0,4-Data!R4,"")</f>
        <v>2</v>
      </c>
      <c r="S4" s="68">
        <f>IF(Data!S4&gt;0,4-Data!S4,"")</f>
        <v>3</v>
      </c>
      <c r="T4" s="68">
        <f>IF(Data!T4&gt;0,Data!T4-4,"")</f>
        <v>3</v>
      </c>
      <c r="U4" s="68">
        <f>IF(Data!U4&gt;0,4-Data!U4,"")</f>
        <v>2</v>
      </c>
      <c r="V4" s="68">
        <f>IF(Data!V4&gt;0,Data!V4-4,"")</f>
        <v>3</v>
      </c>
      <c r="W4" s="68">
        <f>IF(Data!W4&gt;0,4-Data!W4,"")</f>
        <v>2</v>
      </c>
      <c r="X4" s="68">
        <f>IF(Data!X4&gt;0,4-Data!X4,"")</f>
        <v>3</v>
      </c>
      <c r="Y4" s="68">
        <f>IF(Data!Y4&gt;0,4-Data!Y4,"")</f>
        <v>3</v>
      </c>
      <c r="Z4" s="68">
        <f>IF(Data!Z4&gt;0,Data!Z4-4,"")</f>
        <v>2</v>
      </c>
      <c r="AC4" s="69">
        <f t="shared" ref="AC4:AC68" si="0">IF(COUNT(A4,L4,N4,P4,X4,Y4)&gt;0,AVERAGE(A4,L4,N4,P4,X4,Y4),"")</f>
        <v>2.8333333333333335</v>
      </c>
      <c r="AD4" s="69">
        <f>IF(COUNT(B4,D4,M4,U4)&gt;0,AVERAGE(B4,D4,M4,U4),"")</f>
        <v>2.25</v>
      </c>
      <c r="AE4" s="69">
        <f>IF(COUNT(I4,T4,V4,W4)&gt;0,AVERAGE(I4,T4,V4,W4),"")</f>
        <v>2.75</v>
      </c>
      <c r="AF4" s="69">
        <f>IF(COUNT(H4,K4,Q4,S4)&gt;0,AVERAGE(H4,K4,Q4,S4),"")</f>
        <v>1.75</v>
      </c>
      <c r="AG4" s="69">
        <f>IF(COUNT(E4,F4,G4,R4)&gt;0,AVERAGE(E4,F4,G4,R4),"")</f>
        <v>2.75</v>
      </c>
      <c r="AH4" s="69">
        <f>IF(COUNT(C4,J4,O4,Z4)&gt;0,AVERAGE(C4,J4,O4,Z4),"")</f>
        <v>2</v>
      </c>
    </row>
    <row r="5" spans="1:34">
      <c r="A5" s="1">
        <f>IF(Data!A5&gt;0,Data!A5-4,"")</f>
        <v>1</v>
      </c>
      <c r="B5" s="1">
        <f>IF(Data!B5&gt;0,Data!B5-4,"")</f>
        <v>2</v>
      </c>
      <c r="C5" s="1">
        <f>IF(Data!C5&gt;0,4-Data!C5,"")</f>
        <v>1</v>
      </c>
      <c r="D5" s="1">
        <f>IF(Data!D5&gt;0,4-Data!D5,"")</f>
        <v>2</v>
      </c>
      <c r="E5" s="1">
        <f>IF(Data!E5&gt;0,4-Data!E5,"")</f>
        <v>1</v>
      </c>
      <c r="F5" s="1">
        <f>IF(Data!F5&gt;0,Data!F5-4,"")</f>
        <v>2</v>
      </c>
      <c r="G5" s="1">
        <f>IF(Data!G5&gt;0,Data!G5-4,"")</f>
        <v>2</v>
      </c>
      <c r="H5" s="1">
        <f>IF(Data!H5&gt;0,Data!H5-4,"")</f>
        <v>-1</v>
      </c>
      <c r="I5" s="1">
        <f>IF(Data!I5&gt;0,4-Data!I5,"")</f>
        <v>-2</v>
      </c>
      <c r="J5" s="1">
        <f>IF(Data!J5&gt;0,4-Data!J5,"")</f>
        <v>2</v>
      </c>
      <c r="K5" s="1">
        <f>IF(Data!K5&gt;0,Data!K5-4,"")</f>
        <v>1</v>
      </c>
      <c r="L5" s="1">
        <f>IF(Data!L5&gt;0,4-Data!L5,"")</f>
        <v>2</v>
      </c>
      <c r="M5" s="1">
        <f>IF(Data!M5&gt;0,Data!M5-4,"")</f>
        <v>-2</v>
      </c>
      <c r="N5" s="1">
        <f>IF(Data!N5&gt;0,Data!N5-4,"")</f>
        <v>2</v>
      </c>
      <c r="O5" s="1">
        <f>IF(Data!O5&gt;0,Data!O5-4,"")</f>
        <v>1</v>
      </c>
      <c r="P5" s="1">
        <f>IF(Data!P5&gt;0,Data!P5-4,"")</f>
        <v>2</v>
      </c>
      <c r="Q5" s="1">
        <f>IF(Data!Q5&gt;0,4-Data!Q5,"")</f>
        <v>2</v>
      </c>
      <c r="R5" s="1">
        <f>IF(Data!R5&gt;0,4-Data!R5,"")</f>
        <v>3</v>
      </c>
      <c r="S5" s="1">
        <f>IF(Data!S5&gt;0,4-Data!S5,"")</f>
        <v>0</v>
      </c>
      <c r="T5" s="1">
        <f>IF(Data!T5&gt;0,Data!T5-4,"")</f>
        <v>-1</v>
      </c>
      <c r="U5" s="1">
        <f>IF(Data!U5&gt;0,4-Data!U5,"")</f>
        <v>2</v>
      </c>
      <c r="V5" s="1">
        <f>IF(Data!V5&gt;0,Data!V5-4,"")</f>
        <v>1</v>
      </c>
      <c r="W5" s="1">
        <f>IF(Data!W5&gt;0,4-Data!W5,"")</f>
        <v>3</v>
      </c>
      <c r="X5" s="1">
        <f>IF(Data!X5&gt;0,4-Data!X5,"")</f>
        <v>1</v>
      </c>
      <c r="Y5" s="1">
        <f>IF(Data!Y5&gt;0,4-Data!Y5,"")</f>
        <v>0</v>
      </c>
      <c r="Z5" s="1">
        <f>IF(Data!Z5&gt;0,Data!Z5-4,"")</f>
        <v>2</v>
      </c>
      <c r="AC5" s="7">
        <f t="shared" si="0"/>
        <v>1.3333333333333333</v>
      </c>
      <c r="AD5" s="7">
        <f t="shared" ref="AD5:AD68" si="1">IF(COUNT(B5,D5,M5,U5)&gt;0,AVERAGE(B5,D5,M5,U5),"")</f>
        <v>1</v>
      </c>
      <c r="AE5" s="7">
        <f t="shared" ref="AE5:AE68" si="2">IF(COUNT(I5,T5,V5,W5)&gt;0,AVERAGE(I5,T5,V5,W5),"")</f>
        <v>0.25</v>
      </c>
      <c r="AF5" s="7">
        <f t="shared" ref="AF5:AF68" si="3">IF(COUNT(H5,K5,Q5,S5)&gt;0,AVERAGE(H5,K5,Q5,S5),"")</f>
        <v>0.5</v>
      </c>
      <c r="AG5" s="7">
        <f t="shared" ref="AG5:AG68" si="4">IF(COUNT(E5,F5,G5,R5)&gt;0,AVERAGE(E5,F5,G5,R5),"")</f>
        <v>2</v>
      </c>
      <c r="AH5" s="7">
        <f t="shared" ref="AH5:AH68" si="5">IF(COUNT(C5,J5,O5,Z5)&gt;0,AVERAGE(C5,J5,O5,Z5),"")</f>
        <v>1.5</v>
      </c>
    </row>
    <row r="6" spans="1:34">
      <c r="A6" s="1">
        <f>IF(Data!A6&gt;0,Data!A6-4,"")</f>
        <v>3</v>
      </c>
      <c r="B6" s="1">
        <f>IF(Data!B6&gt;0,Data!B6-4,"")</f>
        <v>3</v>
      </c>
      <c r="C6" s="1">
        <f>IF(Data!C6&gt;0,4-Data!C6,"")</f>
        <v>3</v>
      </c>
      <c r="D6" s="1">
        <f>IF(Data!D6&gt;0,4-Data!D6,"")</f>
        <v>2</v>
      </c>
      <c r="E6" s="1">
        <f>IF(Data!E6&gt;0,4-Data!E6,"")</f>
        <v>3</v>
      </c>
      <c r="F6" s="1">
        <f>IF(Data!F6&gt;0,Data!F6-4,"")</f>
        <v>3</v>
      </c>
      <c r="G6" s="1">
        <f>IF(Data!G6&gt;0,Data!G6-4,"")</f>
        <v>3</v>
      </c>
      <c r="H6" s="1">
        <f>IF(Data!H6&gt;0,Data!H6-4,"")</f>
        <v>1</v>
      </c>
      <c r="I6" s="1">
        <f>IF(Data!I6&gt;0,4-Data!I6,"")</f>
        <v>3</v>
      </c>
      <c r="J6" s="1">
        <f>IF(Data!J6&gt;0,4-Data!J6,"")</f>
        <v>3</v>
      </c>
      <c r="K6" s="1">
        <f>IF(Data!K6&gt;0,Data!K6-4,"")</f>
        <v>3</v>
      </c>
      <c r="L6" s="1">
        <f>IF(Data!L6&gt;0,4-Data!L6,"")</f>
        <v>3</v>
      </c>
      <c r="M6" s="1">
        <f>IF(Data!M6&gt;0,Data!M6-4,"")</f>
        <v>1</v>
      </c>
      <c r="N6" s="1">
        <f>IF(Data!N6&gt;0,Data!N6-4,"")</f>
        <v>3</v>
      </c>
      <c r="O6" s="1">
        <f>IF(Data!O6&gt;0,Data!O6-4,"")</f>
        <v>2</v>
      </c>
      <c r="P6" s="1">
        <f>IF(Data!P6&gt;0,Data!P6-4,"")</f>
        <v>3</v>
      </c>
      <c r="Q6" s="1">
        <f>IF(Data!Q6&gt;0,4-Data!Q6,"")</f>
        <v>3</v>
      </c>
      <c r="R6" s="1">
        <f>IF(Data!R6&gt;0,4-Data!R6,"")</f>
        <v>3</v>
      </c>
      <c r="S6" s="1">
        <f>IF(Data!S6&gt;0,4-Data!S6,"")</f>
        <v>3</v>
      </c>
      <c r="T6" s="1">
        <f>IF(Data!T6&gt;0,Data!T6-4,"")</f>
        <v>2</v>
      </c>
      <c r="U6" s="1">
        <f>IF(Data!U6&gt;0,4-Data!U6,"")</f>
        <v>2</v>
      </c>
      <c r="V6" s="1">
        <f>IF(Data!V6&gt;0,Data!V6-4,"")</f>
        <v>3</v>
      </c>
      <c r="W6" s="1">
        <f>IF(Data!W6&gt;0,4-Data!W6,"")</f>
        <v>3</v>
      </c>
      <c r="X6" s="1">
        <f>IF(Data!X6&gt;0,4-Data!X6,"")</f>
        <v>3</v>
      </c>
      <c r="Y6" s="1">
        <f>IF(Data!Y6&gt;0,4-Data!Y6,"")</f>
        <v>3</v>
      </c>
      <c r="Z6" s="1">
        <f>IF(Data!Z6&gt;0,Data!Z6-4,"")</f>
        <v>3</v>
      </c>
      <c r="AC6" s="7">
        <f t="shared" si="0"/>
        <v>3</v>
      </c>
      <c r="AD6" s="7">
        <f t="shared" si="1"/>
        <v>2</v>
      </c>
      <c r="AE6" s="7">
        <f t="shared" si="2"/>
        <v>2.75</v>
      </c>
      <c r="AF6" s="7">
        <f t="shared" si="3"/>
        <v>2.5</v>
      </c>
      <c r="AG6" s="7">
        <f t="shared" si="4"/>
        <v>3</v>
      </c>
      <c r="AH6" s="7">
        <f t="shared" si="5"/>
        <v>2.75</v>
      </c>
    </row>
    <row r="7" spans="1:34">
      <c r="A7" s="1">
        <f>IF(Data!A7&gt;0,Data!A7-4,"")</f>
        <v>2</v>
      </c>
      <c r="B7" s="1">
        <f>IF(Data!B7&gt;0,Data!B7-4,"")</f>
        <v>2</v>
      </c>
      <c r="C7" s="1">
        <f>IF(Data!C7&gt;0,4-Data!C7,"")</f>
        <v>2</v>
      </c>
      <c r="D7" s="1">
        <f>IF(Data!D7&gt;0,4-Data!D7,"")</f>
        <v>1</v>
      </c>
      <c r="E7" s="1">
        <f>IF(Data!E7&gt;0,4-Data!E7,"")</f>
        <v>2</v>
      </c>
      <c r="F7" s="1">
        <f>IF(Data!F7&gt;0,Data!F7-4,"")</f>
        <v>2</v>
      </c>
      <c r="G7" s="1">
        <f>IF(Data!G7&gt;0,Data!G7-4,"")</f>
        <v>2</v>
      </c>
      <c r="H7" s="1">
        <f>IF(Data!H7&gt;0,Data!H7-4,"")</f>
        <v>2</v>
      </c>
      <c r="I7" s="1">
        <f>IF(Data!I7&gt;0,4-Data!I7,"")</f>
        <v>-1</v>
      </c>
      <c r="J7" s="1">
        <f>IF(Data!J7&gt;0,4-Data!J7,"")</f>
        <v>1</v>
      </c>
      <c r="K7" s="1">
        <f>IF(Data!K7&gt;0,Data!K7-4,"")</f>
        <v>1</v>
      </c>
      <c r="L7" s="1">
        <f>IF(Data!L7&gt;0,4-Data!L7,"")</f>
        <v>0</v>
      </c>
      <c r="M7" s="1">
        <f>IF(Data!M7&gt;0,Data!M7-4,"")</f>
        <v>-1</v>
      </c>
      <c r="N7" s="1">
        <f>IF(Data!N7&gt;0,Data!N7-4,"")</f>
        <v>2</v>
      </c>
      <c r="O7" s="1">
        <f>IF(Data!O7&gt;0,Data!O7-4,"")</f>
        <v>0</v>
      </c>
      <c r="P7" s="1">
        <f>IF(Data!P7&gt;0,Data!P7-4,"")</f>
        <v>1</v>
      </c>
      <c r="Q7" s="1">
        <f>IF(Data!Q7&gt;0,4-Data!Q7,"")</f>
        <v>2</v>
      </c>
      <c r="R7" s="1">
        <f>IF(Data!R7&gt;0,4-Data!R7,"")</f>
        <v>2</v>
      </c>
      <c r="S7" s="1">
        <f>IF(Data!S7&gt;0,4-Data!S7,"")</f>
        <v>0</v>
      </c>
      <c r="T7" s="1">
        <f>IF(Data!T7&gt;0,Data!T7-4,"")</f>
        <v>0</v>
      </c>
      <c r="U7" s="1">
        <f>IF(Data!U7&gt;0,4-Data!U7,"")</f>
        <v>2</v>
      </c>
      <c r="V7" s="1">
        <f>IF(Data!V7&gt;0,Data!V7-4,"")</f>
        <v>2</v>
      </c>
      <c r="W7" s="1">
        <f>IF(Data!W7&gt;0,4-Data!W7,"")</f>
        <v>2</v>
      </c>
      <c r="X7" s="1">
        <f>IF(Data!X7&gt;0,4-Data!X7,"")</f>
        <v>1</v>
      </c>
      <c r="Y7" s="1">
        <f>IF(Data!Y7&gt;0,4-Data!Y7,"")</f>
        <v>1</v>
      </c>
      <c r="Z7" s="1">
        <f>IF(Data!Z7&gt;0,Data!Z7-4,"")</f>
        <v>1</v>
      </c>
      <c r="AC7" s="7">
        <f t="shared" si="0"/>
        <v>1.1666666666666667</v>
      </c>
      <c r="AD7" s="7">
        <f t="shared" si="1"/>
        <v>1</v>
      </c>
      <c r="AE7" s="7">
        <f t="shared" si="2"/>
        <v>0.75</v>
      </c>
      <c r="AF7" s="7">
        <f t="shared" si="3"/>
        <v>1.25</v>
      </c>
      <c r="AG7" s="7">
        <f t="shared" si="4"/>
        <v>2</v>
      </c>
      <c r="AH7" s="7">
        <f t="shared" si="5"/>
        <v>1</v>
      </c>
    </row>
    <row r="8" spans="1:34">
      <c r="A8" s="1">
        <f>IF(Data!A8&gt;0,Data!A8-4,"")</f>
        <v>2</v>
      </c>
      <c r="B8" s="1">
        <f>IF(Data!B8&gt;0,Data!B8-4,"")</f>
        <v>3</v>
      </c>
      <c r="C8" s="1">
        <f>IF(Data!C8&gt;0,4-Data!C8,"")</f>
        <v>3</v>
      </c>
      <c r="D8" s="1">
        <f>IF(Data!D8&gt;0,4-Data!D8,"")</f>
        <v>0</v>
      </c>
      <c r="E8" s="1">
        <f>IF(Data!E8&gt;0,4-Data!E8,"")</f>
        <v>2</v>
      </c>
      <c r="F8" s="1">
        <f>IF(Data!F8&gt;0,Data!F8-4,"")</f>
        <v>3</v>
      </c>
      <c r="G8" s="1">
        <f>IF(Data!G8&gt;0,Data!G8-4,"")</f>
        <v>3</v>
      </c>
      <c r="H8" s="1">
        <f>IF(Data!H8&gt;0,Data!H8-4,"")</f>
        <v>1</v>
      </c>
      <c r="I8" s="1">
        <f>IF(Data!I8&gt;0,4-Data!I8,"")</f>
        <v>0</v>
      </c>
      <c r="J8" s="1">
        <f>IF(Data!J8&gt;0,4-Data!J8,"")</f>
        <v>3</v>
      </c>
      <c r="K8" s="1">
        <f>IF(Data!K8&gt;0,Data!K8-4,"")</f>
        <v>3</v>
      </c>
      <c r="L8" s="1">
        <f>IF(Data!L8&gt;0,4-Data!L8,"")</f>
        <v>2</v>
      </c>
      <c r="M8" s="1">
        <f>IF(Data!M8&gt;0,Data!M8-4,"")</f>
        <v>-1</v>
      </c>
      <c r="N8" s="1">
        <f>IF(Data!N8&gt;0,Data!N8-4,"")</f>
        <v>2</v>
      </c>
      <c r="O8" s="1">
        <f>IF(Data!O8&gt;0,Data!O8-4,"")</f>
        <v>3</v>
      </c>
      <c r="P8" s="1">
        <f>IF(Data!P8&gt;0,Data!P8-4,"")</f>
        <v>1</v>
      </c>
      <c r="Q8" s="1">
        <f>IF(Data!Q8&gt;0,4-Data!Q8,"")</f>
        <v>2</v>
      </c>
      <c r="R8" s="1">
        <f>IF(Data!R8&gt;0,4-Data!R8,"")</f>
        <v>3</v>
      </c>
      <c r="S8" s="1">
        <f>IF(Data!S8&gt;0,4-Data!S8,"")</f>
        <v>2</v>
      </c>
      <c r="T8" s="1">
        <f>IF(Data!T8&gt;0,Data!T8-4,"")</f>
        <v>1</v>
      </c>
      <c r="U8" s="1">
        <f>IF(Data!U8&gt;0,4-Data!U8,"")</f>
        <v>3</v>
      </c>
      <c r="V8" s="1">
        <f>IF(Data!V8&gt;0,Data!V8-4,"")</f>
        <v>3</v>
      </c>
      <c r="W8" s="1">
        <f>IF(Data!W8&gt;0,4-Data!W8,"")</f>
        <v>2</v>
      </c>
      <c r="X8" s="1">
        <f>IF(Data!X8&gt;0,4-Data!X8,"")</f>
        <v>3</v>
      </c>
      <c r="Y8" s="1">
        <f>IF(Data!Y8&gt;0,4-Data!Y8,"")</f>
        <v>2</v>
      </c>
      <c r="Z8" s="1">
        <f>IF(Data!Z8&gt;0,Data!Z8-4,"")</f>
        <v>3</v>
      </c>
      <c r="AC8" s="7">
        <f t="shared" si="0"/>
        <v>2</v>
      </c>
      <c r="AD8" s="7">
        <f t="shared" si="1"/>
        <v>1.25</v>
      </c>
      <c r="AE8" s="7">
        <f t="shared" si="2"/>
        <v>1.5</v>
      </c>
      <c r="AF8" s="7">
        <f t="shared" si="3"/>
        <v>2</v>
      </c>
      <c r="AG8" s="7">
        <f t="shared" si="4"/>
        <v>2.75</v>
      </c>
      <c r="AH8" s="7">
        <f t="shared" si="5"/>
        <v>3</v>
      </c>
    </row>
    <row r="9" spans="1:34">
      <c r="A9" s="1">
        <f>IF(Data!A9&gt;0,Data!A9-4,"")</f>
        <v>2</v>
      </c>
      <c r="B9" s="1">
        <f>IF(Data!B9&gt;0,Data!B9-4,"")</f>
        <v>2</v>
      </c>
      <c r="C9" s="1">
        <f>IF(Data!C9&gt;0,4-Data!C9,"")</f>
        <v>3</v>
      </c>
      <c r="D9" s="1">
        <f>IF(Data!D9&gt;0,4-Data!D9,"")</f>
        <v>2</v>
      </c>
      <c r="E9" s="1">
        <f>IF(Data!E9&gt;0,4-Data!E9,"")</f>
        <v>2</v>
      </c>
      <c r="F9" s="1">
        <f>IF(Data!F9&gt;0,Data!F9-4,"")</f>
        <v>3</v>
      </c>
      <c r="G9" s="1">
        <f>IF(Data!G9&gt;0,Data!G9-4,"")</f>
        <v>3</v>
      </c>
      <c r="H9" s="1">
        <f>IF(Data!H9&gt;0,Data!H9-4,"")</f>
        <v>-1</v>
      </c>
      <c r="I9" s="1">
        <f>IF(Data!I9&gt;0,4-Data!I9,"")</f>
        <v>-1</v>
      </c>
      <c r="J9" s="1">
        <f>IF(Data!J9&gt;0,4-Data!J9,"")</f>
        <v>3</v>
      </c>
      <c r="K9" s="1">
        <f>IF(Data!K9&gt;0,Data!K9-4,"")</f>
        <v>1</v>
      </c>
      <c r="L9" s="1">
        <f>IF(Data!L9&gt;0,4-Data!L9,"")</f>
        <v>2</v>
      </c>
      <c r="M9" s="1">
        <f>IF(Data!M9&gt;0,Data!M9-4,"")</f>
        <v>1</v>
      </c>
      <c r="N9" s="1">
        <f>IF(Data!N9&gt;0,Data!N9-4,"")</f>
        <v>2</v>
      </c>
      <c r="O9" s="1">
        <f>IF(Data!O9&gt;0,Data!O9-4,"")</f>
        <v>3</v>
      </c>
      <c r="P9" s="1">
        <f>IF(Data!P9&gt;0,Data!P9-4,"")</f>
        <v>2</v>
      </c>
      <c r="Q9" s="1">
        <f>IF(Data!Q9&gt;0,4-Data!Q9,"")</f>
        <v>2</v>
      </c>
      <c r="R9" s="1">
        <f>IF(Data!R9&gt;0,4-Data!R9,"")</f>
        <v>1</v>
      </c>
      <c r="S9" s="1">
        <f>IF(Data!S9&gt;0,4-Data!S9,"")</f>
        <v>2</v>
      </c>
      <c r="T9" s="1">
        <f>IF(Data!T9&gt;0,Data!T9-4,"")</f>
        <v>1</v>
      </c>
      <c r="U9" s="1">
        <f>IF(Data!U9&gt;0,4-Data!U9,"")</f>
        <v>3</v>
      </c>
      <c r="V9" s="1">
        <f>IF(Data!V9&gt;0,Data!V9-4,"")</f>
        <v>2</v>
      </c>
      <c r="W9" s="1">
        <f>IF(Data!W9&gt;0,4-Data!W9,"")</f>
        <v>0</v>
      </c>
      <c r="X9" s="1">
        <f>IF(Data!X9&gt;0,4-Data!X9,"")</f>
        <v>3</v>
      </c>
      <c r="Y9" s="1">
        <f>IF(Data!Y9&gt;0,4-Data!Y9,"")</f>
        <v>2</v>
      </c>
      <c r="Z9" s="1">
        <f>IF(Data!Z9&gt;0,Data!Z9-4,"")</f>
        <v>3</v>
      </c>
      <c r="AC9" s="7">
        <f t="shared" si="0"/>
        <v>2.1666666666666665</v>
      </c>
      <c r="AD9" s="7">
        <f t="shared" si="1"/>
        <v>2</v>
      </c>
      <c r="AE9" s="7">
        <f t="shared" si="2"/>
        <v>0.5</v>
      </c>
      <c r="AF9" s="7">
        <f t="shared" si="3"/>
        <v>1</v>
      </c>
      <c r="AG9" s="7">
        <f t="shared" si="4"/>
        <v>2.25</v>
      </c>
      <c r="AH9" s="7">
        <f t="shared" si="5"/>
        <v>3</v>
      </c>
    </row>
    <row r="10" spans="1:34">
      <c r="A10" s="1">
        <f>IF(Data!A10&gt;0,Data!A10-4,"")</f>
        <v>-2</v>
      </c>
      <c r="B10" s="1">
        <f>IF(Data!B10&gt;0,Data!B10-4,"")</f>
        <v>3</v>
      </c>
      <c r="C10" s="1">
        <f>IF(Data!C10&gt;0,4-Data!C10,"")</f>
        <v>2</v>
      </c>
      <c r="D10" s="1">
        <f>IF(Data!D10&gt;0,4-Data!D10,"")</f>
        <v>2</v>
      </c>
      <c r="E10" s="1">
        <f>IF(Data!E10&gt;0,4-Data!E10,"")</f>
        <v>3</v>
      </c>
      <c r="F10" s="1">
        <f>IF(Data!F10&gt;0,Data!F10-4,"")</f>
        <v>1</v>
      </c>
      <c r="G10" s="1">
        <f>IF(Data!G10&gt;0,Data!G10-4,"")</f>
        <v>1</v>
      </c>
      <c r="H10" s="1">
        <f>IF(Data!H10&gt;0,Data!H10-4,"")</f>
        <v>-1</v>
      </c>
      <c r="I10" s="1">
        <f>IF(Data!I10&gt;0,4-Data!I10,"")</f>
        <v>-2</v>
      </c>
      <c r="J10" s="1">
        <f>IF(Data!J10&gt;0,4-Data!J10,"")</f>
        <v>0</v>
      </c>
      <c r="K10" s="1">
        <f>IF(Data!K10&gt;0,Data!K10-4,"")</f>
        <v>0</v>
      </c>
      <c r="L10" s="1">
        <f>IF(Data!L10&gt;0,4-Data!L10,"")</f>
        <v>3</v>
      </c>
      <c r="M10" s="1">
        <f>IF(Data!M10&gt;0,Data!M10-4,"")</f>
        <v>-3</v>
      </c>
      <c r="N10" s="1">
        <f>IF(Data!N10&gt;0,Data!N10-4,"")</f>
        <v>1</v>
      </c>
      <c r="O10" s="1">
        <f>IF(Data!O10&gt;0,Data!O10-4,"")</f>
        <v>1</v>
      </c>
      <c r="P10" s="1">
        <f>IF(Data!P10&gt;0,Data!P10-4,"")</f>
        <v>2</v>
      </c>
      <c r="Q10" s="1">
        <f>IF(Data!Q10&gt;0,4-Data!Q10,"")</f>
        <v>0</v>
      </c>
      <c r="R10" s="1">
        <f>IF(Data!R10&gt;0,4-Data!R10,"")</f>
        <v>0</v>
      </c>
      <c r="S10" s="1">
        <f>IF(Data!S10&gt;0,4-Data!S10,"")</f>
        <v>0</v>
      </c>
      <c r="T10" s="1">
        <f>IF(Data!T10&gt;0,Data!T10-4,"")</f>
        <v>1</v>
      </c>
      <c r="U10" s="1">
        <f>IF(Data!U10&gt;0,4-Data!U10,"")</f>
        <v>2</v>
      </c>
      <c r="V10" s="1">
        <f>IF(Data!V10&gt;0,Data!V10-4,"")</f>
        <v>2</v>
      </c>
      <c r="W10" s="1">
        <f>IF(Data!W10&gt;0,4-Data!W10,"")</f>
        <v>2</v>
      </c>
      <c r="X10" s="1">
        <f>IF(Data!X10&gt;0,4-Data!X10,"")</f>
        <v>1</v>
      </c>
      <c r="Y10" s="1">
        <f>IF(Data!Y10&gt;0,4-Data!Y10,"")</f>
        <v>-2</v>
      </c>
      <c r="Z10" s="1">
        <f>IF(Data!Z10&gt;0,Data!Z10-4,"")</f>
        <v>2</v>
      </c>
      <c r="AC10" s="7">
        <f t="shared" si="0"/>
        <v>0.5</v>
      </c>
      <c r="AD10" s="7">
        <f t="shared" si="1"/>
        <v>1</v>
      </c>
      <c r="AE10" s="7">
        <f t="shared" si="2"/>
        <v>0.75</v>
      </c>
      <c r="AF10" s="7">
        <f t="shared" si="3"/>
        <v>-0.25</v>
      </c>
      <c r="AG10" s="7">
        <f t="shared" si="4"/>
        <v>1.25</v>
      </c>
      <c r="AH10" s="7">
        <f t="shared" si="5"/>
        <v>1.25</v>
      </c>
    </row>
    <row r="11" spans="1:34">
      <c r="A11" s="1">
        <f>IF(Data!A11&gt;0,Data!A11-4,"")</f>
        <v>3</v>
      </c>
      <c r="B11" s="1">
        <f>IF(Data!B11&gt;0,Data!B11-4,"")</f>
        <v>3</v>
      </c>
      <c r="C11" s="1">
        <f>IF(Data!C11&gt;0,4-Data!C11,"")</f>
        <v>2</v>
      </c>
      <c r="D11" s="1">
        <f>IF(Data!D11&gt;0,4-Data!D11,"")</f>
        <v>2</v>
      </c>
      <c r="E11" s="1">
        <f>IF(Data!E11&gt;0,4-Data!E11,"")</f>
        <v>3</v>
      </c>
      <c r="F11" s="1">
        <f>IF(Data!F11&gt;0,Data!F11-4,"")</f>
        <v>3</v>
      </c>
      <c r="G11" s="1">
        <f>IF(Data!G11&gt;0,Data!G11-4,"")</f>
        <v>3</v>
      </c>
      <c r="H11" s="1">
        <f>IF(Data!H11&gt;0,Data!H11-4,"")</f>
        <v>1</v>
      </c>
      <c r="I11" s="1">
        <f>IF(Data!I11&gt;0,4-Data!I11,"")</f>
        <v>1</v>
      </c>
      <c r="J11" s="1">
        <f>IF(Data!J11&gt;0,4-Data!J11,"")</f>
        <v>2</v>
      </c>
      <c r="K11" s="1">
        <f>IF(Data!K11&gt;0,Data!K11-4,"")</f>
        <v>2</v>
      </c>
      <c r="L11" s="1">
        <f>IF(Data!L11&gt;0,4-Data!L11,"")</f>
        <v>1</v>
      </c>
      <c r="M11" s="1">
        <f>IF(Data!M11&gt;0,Data!M11-4,"")</f>
        <v>1</v>
      </c>
      <c r="N11" s="1">
        <f>IF(Data!N11&gt;0,Data!N11-4,"")</f>
        <v>3</v>
      </c>
      <c r="O11" s="1">
        <f>IF(Data!O11&gt;0,Data!O11-4,"")</f>
        <v>3</v>
      </c>
      <c r="P11" s="1">
        <f>IF(Data!P11&gt;0,Data!P11-4,"")</f>
        <v>3</v>
      </c>
      <c r="Q11" s="1">
        <f>IF(Data!Q11&gt;0,4-Data!Q11,"")</f>
        <v>3</v>
      </c>
      <c r="R11" s="1">
        <f>IF(Data!R11&gt;0,4-Data!R11,"")</f>
        <v>3</v>
      </c>
      <c r="S11" s="1">
        <f>IF(Data!S11&gt;0,4-Data!S11,"")</f>
        <v>2</v>
      </c>
      <c r="T11" s="1">
        <f>IF(Data!T11&gt;0,Data!T11-4,"")</f>
        <v>3</v>
      </c>
      <c r="U11" s="1">
        <f>IF(Data!U11&gt;0,4-Data!U11,"")</f>
        <v>3</v>
      </c>
      <c r="V11" s="1">
        <f>IF(Data!V11&gt;0,Data!V11-4,"")</f>
        <v>3</v>
      </c>
      <c r="W11" s="1">
        <f>IF(Data!W11&gt;0,4-Data!W11,"")</f>
        <v>3</v>
      </c>
      <c r="X11" s="1">
        <f>IF(Data!X11&gt;0,4-Data!X11,"")</f>
        <v>3</v>
      </c>
      <c r="Y11" s="1">
        <f>IF(Data!Y11&gt;0,4-Data!Y11,"")</f>
        <v>3</v>
      </c>
      <c r="Z11" s="1">
        <f>IF(Data!Z11&gt;0,Data!Z11-4,"")</f>
        <v>3</v>
      </c>
      <c r="AC11" s="7">
        <f t="shared" si="0"/>
        <v>2.6666666666666665</v>
      </c>
      <c r="AD11" s="7">
        <f t="shared" si="1"/>
        <v>2.25</v>
      </c>
      <c r="AE11" s="7">
        <f t="shared" si="2"/>
        <v>2.5</v>
      </c>
      <c r="AF11" s="7">
        <f t="shared" si="3"/>
        <v>2</v>
      </c>
      <c r="AG11" s="7">
        <f t="shared" si="4"/>
        <v>3</v>
      </c>
      <c r="AH11" s="7">
        <f t="shared" si="5"/>
        <v>2.5</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70" t="s">
        <v>1530</v>
      </c>
      <c r="B1" s="171"/>
      <c r="C1" s="171"/>
      <c r="D1" s="171"/>
      <c r="E1" s="171"/>
      <c r="F1" s="171"/>
      <c r="G1" s="171"/>
      <c r="H1" s="171"/>
      <c r="I1" s="171"/>
      <c r="J1" s="171"/>
      <c r="K1" s="171"/>
      <c r="L1" s="171"/>
      <c r="M1" s="171"/>
      <c r="N1" s="171"/>
    </row>
    <row r="2" spans="1:18">
      <c r="A2" s="77" t="s">
        <v>2</v>
      </c>
      <c r="B2" s="78" t="s">
        <v>106</v>
      </c>
      <c r="C2" s="79" t="s">
        <v>107</v>
      </c>
      <c r="D2" s="80" t="s">
        <v>108</v>
      </c>
      <c r="E2" s="79" t="s">
        <v>109</v>
      </c>
      <c r="F2" s="81" t="s">
        <v>117</v>
      </c>
      <c r="G2" s="82" t="s">
        <v>118</v>
      </c>
      <c r="H2" s="79" t="s">
        <v>110</v>
      </c>
      <c r="I2" s="83"/>
      <c r="K2" s="169" t="s">
        <v>1273</v>
      </c>
      <c r="L2" s="169"/>
      <c r="M2" s="169"/>
    </row>
    <row r="3" spans="1:18">
      <c r="A3" s="71">
        <v>1</v>
      </c>
      <c r="B3" s="72">
        <f>AVERAGE(DT!A4:A1004)</f>
        <v>1.625</v>
      </c>
      <c r="C3" s="72">
        <f>VAR(DT!A4:A1004)</f>
        <v>2.5535714285714284</v>
      </c>
      <c r="D3" s="72">
        <f>SQRT(C3)</f>
        <v>1.5979898086569353</v>
      </c>
      <c r="E3" s="73">
        <f>COUNTA(Data!A4:A1004)</f>
        <v>8</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1.9583333333333333</v>
      </c>
      <c r="M3" s="7">
        <f>VAR(DT!AC4:AC1004)</f>
        <v>0.79166666666666685</v>
      </c>
      <c r="R3" s="5"/>
    </row>
    <row r="4" spans="1:18">
      <c r="A4" s="2">
        <v>2</v>
      </c>
      <c r="B4" s="3">
        <f>AVERAGE(DT!B4:B1004)</f>
        <v>2.625</v>
      </c>
      <c r="C4" s="3">
        <f>VAR(DT!B4:B1004)</f>
        <v>0.26785714285714285</v>
      </c>
      <c r="D4" s="3">
        <f t="shared" ref="D4:D28" si="0">SQRT(C4)</f>
        <v>0.51754916950676566</v>
      </c>
      <c r="E4" s="4">
        <f>COUNTA(Data!B4:B1004)</f>
        <v>8</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1.59375</v>
      </c>
      <c r="M4" s="7">
        <f>VAR(DT!AD4:AD1004)</f>
        <v>0.33816964285714285</v>
      </c>
    </row>
    <row r="5" spans="1:18">
      <c r="A5" s="2">
        <v>3</v>
      </c>
      <c r="B5" s="3">
        <f>AVERAGE(DT!C4:C1004)</f>
        <v>2.25</v>
      </c>
      <c r="C5" s="3">
        <f>VAR(DT!C4:C1004)</f>
        <v>0.5</v>
      </c>
      <c r="D5" s="3">
        <f t="shared" si="0"/>
        <v>0.70710678118654757</v>
      </c>
      <c r="E5" s="4">
        <f>COUNTA(Data!C4:C1004)</f>
        <v>8</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1.46875</v>
      </c>
      <c r="M5" s="7">
        <f>VAR(DT!AE4:AE1004)</f>
        <v>1.1149553571428572</v>
      </c>
    </row>
    <row r="6" spans="1:18">
      <c r="A6" s="2">
        <v>4</v>
      </c>
      <c r="B6" s="3">
        <f>AVERAGE(DT!D4:D1004)</f>
        <v>1.75</v>
      </c>
      <c r="C6" s="3">
        <f>VAR(DT!D4:D1004)</f>
        <v>0.7857142857142857</v>
      </c>
      <c r="D6" s="3">
        <f t="shared" si="0"/>
        <v>0.88640526042791834</v>
      </c>
      <c r="E6" s="4">
        <f>COUNTA(Data!D4:D1004)</f>
        <v>8</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1.34375</v>
      </c>
      <c r="M6" s="7">
        <f>VAR(DT!AF4:AF1004)</f>
        <v>0.8203125</v>
      </c>
    </row>
    <row r="7" spans="1:18">
      <c r="A7" s="2">
        <v>5</v>
      </c>
      <c r="B7" s="3">
        <f>AVERAGE(DT!E4:E1004)</f>
        <v>2.375</v>
      </c>
      <c r="C7" s="3">
        <f>VAR(DT!E4:E1004)</f>
        <v>0.5535714285714286</v>
      </c>
      <c r="D7" s="3">
        <f t="shared" si="0"/>
        <v>0.74402380914284494</v>
      </c>
      <c r="E7" s="4">
        <f>COUNTA(Data!E4:E1004)</f>
        <v>8</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2.375</v>
      </c>
      <c r="M7" s="7">
        <f>VAR(DT!AG4:AG1004)</f>
        <v>0.375</v>
      </c>
    </row>
    <row r="8" spans="1:18">
      <c r="A8" s="2">
        <v>6</v>
      </c>
      <c r="B8" s="3">
        <f>AVERAGE(DT!F4:F1004)</f>
        <v>2.5</v>
      </c>
      <c r="C8" s="3">
        <f>VAR(DT!F4:F1004)</f>
        <v>0.5714285714285714</v>
      </c>
      <c r="D8" s="3">
        <f t="shared" si="0"/>
        <v>0.7559289460184544</v>
      </c>
      <c r="E8" s="4">
        <f>COUNTA(Data!F4:F1004)</f>
        <v>8</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2.125</v>
      </c>
      <c r="M8" s="7">
        <f>VAR(DT!AH4:AH1004)</f>
        <v>0.6428571428571429</v>
      </c>
    </row>
    <row r="9" spans="1:18">
      <c r="A9" s="2">
        <v>7</v>
      </c>
      <c r="B9" s="3">
        <f>AVERAGE(DT!G4:G1004)</f>
        <v>2.5</v>
      </c>
      <c r="C9" s="3">
        <f>VAR(DT!G4:G1004)</f>
        <v>0.5714285714285714</v>
      </c>
      <c r="D9" s="3">
        <f t="shared" si="0"/>
        <v>0.7559289460184544</v>
      </c>
      <c r="E9" s="4">
        <f>COUNTA(Data!G4:G1004)</f>
        <v>8</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0.125</v>
      </c>
      <c r="C10" s="3">
        <f>VAR(DT!H4:H1004)</f>
        <v>1.5535714285714286</v>
      </c>
      <c r="D10" s="3">
        <f t="shared" si="0"/>
        <v>1.2464234547582249</v>
      </c>
      <c r="E10" s="4">
        <f>COUNTA(Data!H4:H1004)</f>
        <v>8</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0.125</v>
      </c>
      <c r="C11" s="3">
        <f>VAR(DT!I4:I1004)</f>
        <v>4.125</v>
      </c>
      <c r="D11" s="3">
        <f t="shared" si="0"/>
        <v>2.0310096011589902</v>
      </c>
      <c r="E11" s="4">
        <f>COUNTA(Data!I4:I1004)</f>
        <v>8</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1.875</v>
      </c>
      <c r="C12" s="3">
        <f>VAR(DT!J4:J1004)</f>
        <v>1.2678571428571428</v>
      </c>
      <c r="D12" s="3">
        <f t="shared" si="0"/>
        <v>1.1259916264596033</v>
      </c>
      <c r="E12" s="4">
        <f>COUNTA(Data!J4:J1004)</f>
        <v>8</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1.625</v>
      </c>
      <c r="C13" s="3">
        <f>VAR(DT!K4:K1004)</f>
        <v>1.125</v>
      </c>
      <c r="D13" s="3">
        <f t="shared" si="0"/>
        <v>1.0606601717798212</v>
      </c>
      <c r="E13" s="4">
        <f>COUNTA(Data!K4:K1004)</f>
        <v>8</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2</v>
      </c>
      <c r="C14" s="3">
        <f>VAR(DT!L4:L1004)</f>
        <v>1.1428571428571428</v>
      </c>
      <c r="D14" s="3">
        <f t="shared" si="0"/>
        <v>1.0690449676496976</v>
      </c>
      <c r="E14" s="4">
        <f>COUNTA(Data!L4:L1004)</f>
        <v>8</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-0.375</v>
      </c>
      <c r="C15" s="3">
        <f>VAR(DT!M4:M1004)</f>
        <v>2.5535714285714284</v>
      </c>
      <c r="D15" s="3">
        <f t="shared" si="0"/>
        <v>1.5979898086569353</v>
      </c>
      <c r="E15" s="4">
        <f>COUNTA(Data!M4:M1004)</f>
        <v>8</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2.25</v>
      </c>
      <c r="C16" s="3">
        <f>VAR(DT!N4:N1004)</f>
        <v>0.5</v>
      </c>
      <c r="D16" s="3">
        <f t="shared" si="0"/>
        <v>0.70710678118654757</v>
      </c>
      <c r="E16" s="4">
        <f>COUNTA(Data!N4:N1004)</f>
        <v>8</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2</v>
      </c>
      <c r="C17" s="3">
        <f>VAR(DT!O4:O1004)</f>
        <v>1.4285714285714286</v>
      </c>
      <c r="D17" s="3">
        <f t="shared" si="0"/>
        <v>1.1952286093343936</v>
      </c>
      <c r="E17" s="4">
        <f>COUNTA(Data!O4:O1004)</f>
        <v>8</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2.125</v>
      </c>
      <c r="C18" s="3">
        <f>VAR(DT!P4:P1004)</f>
        <v>0.6964285714285714</v>
      </c>
      <c r="D18" s="3">
        <f t="shared" si="0"/>
        <v>0.83452296039628016</v>
      </c>
      <c r="E18" s="4">
        <f>COUNTA(Data!P4:P1004)</f>
        <v>8</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2.125</v>
      </c>
      <c r="C19" s="3">
        <f>VAR(DT!Q4:Q1004)</f>
        <v>0.9821428571428571</v>
      </c>
      <c r="D19" s="3">
        <f t="shared" si="0"/>
        <v>0.99103120896511487</v>
      </c>
      <c r="E19" s="4">
        <f>COUNTA(Data!Q4:Q1004)</f>
        <v>8</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2.125</v>
      </c>
      <c r="C20" s="3">
        <f>VAR(DT!R4:R1004)</f>
        <v>1.2678571428571428</v>
      </c>
      <c r="D20" s="3">
        <f t="shared" si="0"/>
        <v>1.1259916264596033</v>
      </c>
      <c r="E20" s="4">
        <f>COUNTA(Data!R4:R1004)</f>
        <v>8</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1.5</v>
      </c>
      <c r="C21" s="3">
        <f>VAR(DT!S4:S1004)</f>
        <v>1.7142857142857142</v>
      </c>
      <c r="D21" s="3">
        <f t="shared" si="0"/>
        <v>1.3093073414159542</v>
      </c>
      <c r="E21" s="4">
        <f>COUNTA(Data!S4:S1004)</f>
        <v>8</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1.25</v>
      </c>
      <c r="C22" s="3">
        <f>VAR(DT!T4:T1004)</f>
        <v>1.9285714285714286</v>
      </c>
      <c r="D22" s="3">
        <f t="shared" si="0"/>
        <v>1.3887301496588271</v>
      </c>
      <c r="E22" s="4">
        <f>COUNTA(Data!T4:T1004)</f>
        <v>8</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2.375</v>
      </c>
      <c r="C23" s="3">
        <f>VAR(DT!U4:U1004)</f>
        <v>0.26785714285714285</v>
      </c>
      <c r="D23" s="3">
        <f t="shared" si="0"/>
        <v>0.51754916950676566</v>
      </c>
      <c r="E23" s="4">
        <f>COUNTA(Data!U4:U1004)</f>
        <v>8</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2.375</v>
      </c>
      <c r="C24" s="3">
        <f>VAR(DT!V4:V1004)</f>
        <v>0.5535714285714286</v>
      </c>
      <c r="D24" s="3">
        <f t="shared" si="0"/>
        <v>0.74402380914284494</v>
      </c>
      <c r="E24" s="4">
        <f>COUNTA(Data!V4:V1004)</f>
        <v>8</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2.125</v>
      </c>
      <c r="C25" s="3">
        <f>VAR(DT!W4:W1004)</f>
        <v>0.9821428571428571</v>
      </c>
      <c r="D25" s="3">
        <f t="shared" si="0"/>
        <v>0.99103120896511487</v>
      </c>
      <c r="E25" s="4">
        <f>COUNTA(Data!W4:W1004)</f>
        <v>8</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2.25</v>
      </c>
      <c r="C26" s="3">
        <f>VAR(DT!X4:X1004)</f>
        <v>1.0714285714285714</v>
      </c>
      <c r="D26" s="3">
        <f t="shared" si="0"/>
        <v>1.0350983390135313</v>
      </c>
      <c r="E26" s="4">
        <f>COUNTA(Data!X4:X1004)</f>
        <v>8</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1.5</v>
      </c>
      <c r="C27" s="3">
        <f>VAR(DT!Y4:Y1004)</f>
        <v>3.1428571428571428</v>
      </c>
      <c r="D27" s="3">
        <f t="shared" si="0"/>
        <v>1.7728105208558367</v>
      </c>
      <c r="E27" s="4">
        <f>COUNTA(Data!Y4:Y1004)</f>
        <v>8</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2.375</v>
      </c>
      <c r="C28" s="3">
        <f>VAR(DT!Z4:Z1004)</f>
        <v>0.5535714285714286</v>
      </c>
      <c r="D28" s="3">
        <f t="shared" si="0"/>
        <v>0.74402380914284494</v>
      </c>
      <c r="E28" s="4">
        <f>COUNTA(Data!Z4:Z1004)</f>
        <v>8</v>
      </c>
      <c r="F28" s="22" t="str">
        <f>VLOOKUP(Read_First!B5,Items!A1:BA50,52,FALSE)</f>
        <v>conservative</v>
      </c>
      <c r="G28" s="23" t="str">
        <f>VLOOKUP(Read_First!B5,Items!A1:BA50,53,FALSE)</f>
        <v>innovative</v>
      </c>
      <c r="H28" s="28" t="str">
        <f>VLOOKUP(Read_First!B5,Items!A1:BI50,59,FALSE)</f>
        <v>Novelty</v>
      </c>
      <c r="I28" s="138"/>
    </row>
    <row r="39" spans="11:15">
      <c r="K39" s="169" t="s">
        <v>820</v>
      </c>
      <c r="L39" s="169"/>
    </row>
    <row r="40" spans="11:15">
      <c r="K40" s="43" t="str">
        <f>VLOOKUP(Read_First!B5,Items!A1:BI50,54,FALSE)</f>
        <v>Attractiveness</v>
      </c>
      <c r="L40" s="44">
        <f>AVERAGE(DT!AC4:AC1004)</f>
        <v>1.9583333333333333</v>
      </c>
    </row>
    <row r="41" spans="11:15">
      <c r="K41" s="1" t="str">
        <f>VLOOKUP(Read_First!B5,Items!A1:BI50,60,FALSE)</f>
        <v>Pragmatic Quality</v>
      </c>
      <c r="L41" s="45">
        <f>(L4+L5+L6)/3</f>
        <v>1.46875</v>
      </c>
    </row>
    <row r="42" spans="11:15">
      <c r="K42" s="1" t="str">
        <f>VLOOKUP(Read_First!B5,Items!A1:BI50,61,FALSE)</f>
        <v>Hedonic Quality</v>
      </c>
      <c r="L42" s="45">
        <f>(L7+L8)/2</f>
        <v>2.25</v>
      </c>
    </row>
    <row r="44" spans="11:15" ht="102.75" customHeight="1">
      <c r="K44" s="158" t="s">
        <v>821</v>
      </c>
      <c r="L44" s="158"/>
      <c r="M44" s="158"/>
      <c r="N44" s="158"/>
      <c r="O44" s="158"/>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5703125" customWidth="1"/>
    <col min="9" max="9" width="18.5703125" customWidth="1"/>
    <col min="13" max="13" width="11.85546875" customWidth="1"/>
    <col min="15" max="15" width="9.5703125" customWidth="1"/>
  </cols>
  <sheetData>
    <row r="1" spans="1:15" ht="100.7" customHeight="1">
      <c r="A1" s="175" t="s">
        <v>1282</v>
      </c>
      <c r="B1" s="176"/>
      <c r="C1" s="176"/>
      <c r="D1" s="176"/>
      <c r="E1" s="176"/>
      <c r="F1" s="176"/>
      <c r="G1" s="176"/>
      <c r="H1" s="176"/>
      <c r="I1" s="176"/>
      <c r="J1" s="176"/>
      <c r="K1" s="176"/>
      <c r="L1" s="176"/>
      <c r="M1" s="176"/>
      <c r="N1" s="176"/>
      <c r="O1" s="176"/>
    </row>
    <row r="3" spans="1:15">
      <c r="A3" s="172" t="s">
        <v>114</v>
      </c>
      <c r="B3" s="172"/>
      <c r="C3" s="172"/>
      <c r="D3" s="172"/>
      <c r="E3" s="172"/>
      <c r="F3" s="172"/>
      <c r="G3" s="172"/>
      <c r="I3" s="172" t="s">
        <v>111</v>
      </c>
      <c r="J3" s="172"/>
      <c r="K3" s="172"/>
      <c r="L3" s="172"/>
      <c r="M3" s="172"/>
      <c r="N3" s="172"/>
      <c r="O3" s="172"/>
    </row>
    <row r="4" spans="1:15">
      <c r="A4" s="116" t="s">
        <v>2</v>
      </c>
      <c r="B4" s="117" t="s">
        <v>106</v>
      </c>
      <c r="C4" s="117" t="s">
        <v>108</v>
      </c>
      <c r="D4" s="118" t="s">
        <v>3</v>
      </c>
      <c r="E4" s="117" t="s">
        <v>112</v>
      </c>
      <c r="F4" s="173" t="s">
        <v>113</v>
      </c>
      <c r="G4" s="174"/>
      <c r="I4" s="119" t="s">
        <v>110</v>
      </c>
      <c r="J4" s="118" t="s">
        <v>106</v>
      </c>
      <c r="K4" s="118" t="s">
        <v>108</v>
      </c>
      <c r="L4" s="118" t="s">
        <v>3</v>
      </c>
      <c r="M4" s="120" t="s">
        <v>112</v>
      </c>
      <c r="N4" s="173" t="s">
        <v>113</v>
      </c>
      <c r="O4" s="174"/>
    </row>
    <row r="5" spans="1:15">
      <c r="A5" s="86">
        <v>1</v>
      </c>
      <c r="B5" s="85">
        <f>Results!B3</f>
        <v>1.625</v>
      </c>
      <c r="C5" s="85">
        <f>Results!D3</f>
        <v>1.5979898086569353</v>
      </c>
      <c r="D5" s="73">
        <f>Results!E3</f>
        <v>8</v>
      </c>
      <c r="E5" s="85">
        <f t="shared" ref="E5:E24" si="0">CONFIDENCE(0.05, C5, D5)</f>
        <v>1.1073300935447279</v>
      </c>
      <c r="F5" s="85">
        <f t="shared" ref="F5:F24" si="1">B5-E5</f>
        <v>0.51766990645527211</v>
      </c>
      <c r="G5" s="85">
        <f t="shared" ref="G5:G24" si="2">B5+E5</f>
        <v>2.7323300935447277</v>
      </c>
      <c r="I5" s="87" t="str">
        <f>VLOOKUP(Read_First!B5,Items!A1:BI50,54,FALSE)</f>
        <v>Attractiveness</v>
      </c>
      <c r="J5" s="85">
        <f>AVERAGE(DT!AC4:AC1004)</f>
        <v>1.9583333333333333</v>
      </c>
      <c r="K5" s="85">
        <f>STDEV(DT!AC4:AC1004)</f>
        <v>0.88975652100260938</v>
      </c>
      <c r="L5" s="73">
        <f>MAX(D5:D24)</f>
        <v>8</v>
      </c>
      <c r="M5" s="85">
        <f>CONFIDENCE(0.05, K5, L5)</f>
        <v>0.6165584825987902</v>
      </c>
      <c r="N5" s="85">
        <f t="shared" ref="N5:N10" si="3">J5-M5</f>
        <v>1.3417748507345431</v>
      </c>
      <c r="O5" s="85">
        <f t="shared" ref="O5:O10" si="4">J5+M5</f>
        <v>2.5748918159321237</v>
      </c>
    </row>
    <row r="6" spans="1:15">
      <c r="A6" s="13">
        <v>2</v>
      </c>
      <c r="B6" s="11">
        <f>Results!B4</f>
        <v>2.625</v>
      </c>
      <c r="C6" s="11">
        <f>Results!D4</f>
        <v>0.51754916950676566</v>
      </c>
      <c r="D6" s="4">
        <f>Results!E4</f>
        <v>8</v>
      </c>
      <c r="E6" s="11">
        <f t="shared" si="0"/>
        <v>0.35863668665421294</v>
      </c>
      <c r="F6" s="11">
        <f t="shared" si="1"/>
        <v>2.2663633133457872</v>
      </c>
      <c r="G6" s="11">
        <f t="shared" si="2"/>
        <v>2.9836366866542128</v>
      </c>
      <c r="I6" s="10" t="str">
        <f>VLOOKUP(Read_First!B5,Items!A1:BI50,55,FALSE)</f>
        <v>Perspicuity</v>
      </c>
      <c r="J6" s="11">
        <f>AVERAGE(DT!AD4:AD1004)</f>
        <v>1.59375</v>
      </c>
      <c r="K6" s="11">
        <f>STDEV(DT!AD4:AD1004)</f>
        <v>0.5815235531404922</v>
      </c>
      <c r="L6" s="4">
        <f>L5</f>
        <v>8</v>
      </c>
      <c r="M6" s="11">
        <f t="shared" ref="M6:M10" si="5">CONFIDENCE(0.05, K6, L6)</f>
        <v>0.40296785812341052</v>
      </c>
      <c r="N6" s="11">
        <f t="shared" si="3"/>
        <v>1.1907821418765896</v>
      </c>
      <c r="O6" s="11">
        <f t="shared" si="4"/>
        <v>1.9967178581234104</v>
      </c>
    </row>
    <row r="7" spans="1:15">
      <c r="A7" s="13">
        <v>3</v>
      </c>
      <c r="B7" s="11">
        <f>Results!B5</f>
        <v>2.25</v>
      </c>
      <c r="C7" s="11">
        <f>Results!D5</f>
        <v>0.70710678118654757</v>
      </c>
      <c r="D7" s="4">
        <f>Results!E5</f>
        <v>8</v>
      </c>
      <c r="E7" s="11">
        <f t="shared" si="0"/>
        <v>0.4899909961350134</v>
      </c>
      <c r="F7" s="11">
        <f t="shared" si="1"/>
        <v>1.7600090038649867</v>
      </c>
      <c r="G7" s="11">
        <f t="shared" si="2"/>
        <v>2.7399909961350133</v>
      </c>
      <c r="I7" s="10" t="str">
        <f>VLOOKUP(Read_First!B5,Items!A1:BI50,56,FALSE)</f>
        <v>Efficiency</v>
      </c>
      <c r="J7" s="11">
        <f>AVERAGE(DT!AE4:AE1004)</f>
        <v>1.46875</v>
      </c>
      <c r="K7" s="11">
        <f>STDEV(DT!AE4:AE1004)</f>
        <v>1.0559144648800192</v>
      </c>
      <c r="L7" s="4">
        <f>L6</f>
        <v>8</v>
      </c>
      <c r="M7" s="11">
        <f t="shared" si="5"/>
        <v>0.73169794753168083</v>
      </c>
      <c r="N7" s="11">
        <f t="shared" si="3"/>
        <v>0.73705205246831917</v>
      </c>
      <c r="O7" s="11">
        <f t="shared" si="4"/>
        <v>2.2004479475316807</v>
      </c>
    </row>
    <row r="8" spans="1:15">
      <c r="A8" s="13">
        <v>4</v>
      </c>
      <c r="B8" s="11">
        <f>Results!B6</f>
        <v>1.75</v>
      </c>
      <c r="C8" s="11">
        <f>Results!D6</f>
        <v>0.88640526042791834</v>
      </c>
      <c r="D8" s="4">
        <f>Results!E6</f>
        <v>8</v>
      </c>
      <c r="E8" s="11">
        <f t="shared" si="0"/>
        <v>0.61423622017536195</v>
      </c>
      <c r="F8" s="11">
        <f t="shared" si="1"/>
        <v>1.1357637798246381</v>
      </c>
      <c r="G8" s="11">
        <f t="shared" si="2"/>
        <v>2.3642362201753619</v>
      </c>
      <c r="I8" s="12" t="str">
        <f>VLOOKUP(Read_First!B5,Items!A1:BI50,57,FALSE)</f>
        <v>Dependability</v>
      </c>
      <c r="J8" s="11">
        <f>AVERAGE(DT!AF4:AF1004)</f>
        <v>1.34375</v>
      </c>
      <c r="K8" s="11">
        <f>STDEV(DT!AF4:AF1004)</f>
        <v>0.90571104663683988</v>
      </c>
      <c r="L8" s="4">
        <f>L7</f>
        <v>8</v>
      </c>
      <c r="M8" s="11">
        <f t="shared" si="5"/>
        <v>0.62761420164487269</v>
      </c>
      <c r="N8" s="11">
        <f t="shared" si="3"/>
        <v>0.71613579835512731</v>
      </c>
      <c r="O8" s="11">
        <f t="shared" si="4"/>
        <v>1.9713642016448727</v>
      </c>
    </row>
    <row r="9" spans="1:15">
      <c r="A9" s="13">
        <v>5</v>
      </c>
      <c r="B9" s="11">
        <f>Results!B7</f>
        <v>2.375</v>
      </c>
      <c r="C9" s="11">
        <f>Results!D7</f>
        <v>0.74402380914284494</v>
      </c>
      <c r="D9" s="4">
        <f>Results!E7</f>
        <v>8</v>
      </c>
      <c r="E9" s="11">
        <f t="shared" si="0"/>
        <v>0.51557272124914155</v>
      </c>
      <c r="F9" s="11">
        <f t="shared" si="1"/>
        <v>1.8594272787508586</v>
      </c>
      <c r="G9" s="11">
        <f t="shared" si="2"/>
        <v>2.8905727212491414</v>
      </c>
      <c r="I9" s="12" t="str">
        <f>VLOOKUP(Read_First!B5,Items!A1:BI50,58,FALSE)</f>
        <v>Stimulation</v>
      </c>
      <c r="J9" s="11">
        <f>AVERAGE(DT!AG4:AG1004)</f>
        <v>2.375</v>
      </c>
      <c r="K9" s="11">
        <f>STDEV(DT!AG4:AG1004)</f>
        <v>0.61237243569579447</v>
      </c>
      <c r="L9" s="4">
        <f>L8</f>
        <v>8</v>
      </c>
      <c r="M9" s="11">
        <f t="shared" si="5"/>
        <v>0.42434465027856422</v>
      </c>
      <c r="N9" s="11">
        <f t="shared" si="3"/>
        <v>1.9506553497214358</v>
      </c>
      <c r="O9" s="11">
        <f t="shared" si="4"/>
        <v>2.7993446502785644</v>
      </c>
    </row>
    <row r="10" spans="1:15">
      <c r="A10" s="13">
        <v>6</v>
      </c>
      <c r="B10" s="11">
        <f>Results!B8</f>
        <v>2.5</v>
      </c>
      <c r="C10" s="11">
        <f>Results!D8</f>
        <v>0.7559289460184544</v>
      </c>
      <c r="D10" s="4">
        <f>Results!E8</f>
        <v>8</v>
      </c>
      <c r="E10" s="11">
        <f t="shared" si="0"/>
        <v>0.52382240861179841</v>
      </c>
      <c r="F10" s="11">
        <f t="shared" si="1"/>
        <v>1.9761775913882016</v>
      </c>
      <c r="G10" s="11">
        <f t="shared" si="2"/>
        <v>3.0238224086117986</v>
      </c>
      <c r="I10" s="10" t="str">
        <f>VLOOKUP(Read_First!B5,Items!A1:BI50,59,FALSE)</f>
        <v>Novelty</v>
      </c>
      <c r="J10" s="11">
        <f>AVERAGE(DT!AH4:AH1004)</f>
        <v>2.125</v>
      </c>
      <c r="K10" s="11">
        <f>STDEV(DT!AH4:AH1004)</f>
        <v>0.80178372573727319</v>
      </c>
      <c r="L10" s="4">
        <f>L9</f>
        <v>8</v>
      </c>
      <c r="M10" s="11">
        <f t="shared" si="5"/>
        <v>0.55559756590030995</v>
      </c>
      <c r="N10" s="11">
        <f t="shared" si="3"/>
        <v>1.5694024340996902</v>
      </c>
      <c r="O10" s="11">
        <f t="shared" si="4"/>
        <v>2.6805975659003098</v>
      </c>
    </row>
    <row r="11" spans="1:15">
      <c r="A11" s="13">
        <v>7</v>
      </c>
      <c r="B11" s="11">
        <f>Results!B9</f>
        <v>2.5</v>
      </c>
      <c r="C11" s="11">
        <f>Results!D9</f>
        <v>0.7559289460184544</v>
      </c>
      <c r="D11" s="4">
        <f>Results!E9</f>
        <v>8</v>
      </c>
      <c r="E11" s="11">
        <f t="shared" si="0"/>
        <v>0.52382240861179841</v>
      </c>
      <c r="F11" s="11">
        <f t="shared" si="1"/>
        <v>1.9761775913882016</v>
      </c>
      <c r="G11" s="11">
        <f t="shared" si="2"/>
        <v>3.0238224086117986</v>
      </c>
    </row>
    <row r="12" spans="1:15">
      <c r="A12" s="13">
        <v>8</v>
      </c>
      <c r="B12" s="11">
        <f>Results!B10</f>
        <v>0.125</v>
      </c>
      <c r="C12" s="11">
        <f>Results!D10</f>
        <v>1.2464234547582249</v>
      </c>
      <c r="D12" s="4">
        <f>Results!E10</f>
        <v>8</v>
      </c>
      <c r="E12" s="11">
        <f t="shared" si="0"/>
        <v>0.86371151635428045</v>
      </c>
      <c r="F12" s="11">
        <f t="shared" si="1"/>
        <v>-0.73871151635428045</v>
      </c>
      <c r="G12" s="11">
        <f t="shared" si="2"/>
        <v>0.98871151635428045</v>
      </c>
    </row>
    <row r="13" spans="1:15">
      <c r="A13" s="13">
        <v>9</v>
      </c>
      <c r="B13" s="11">
        <f>Results!B11</f>
        <v>0.125</v>
      </c>
      <c r="C13" s="11">
        <f>Results!D11</f>
        <v>2.0310096011589902</v>
      </c>
      <c r="D13" s="4">
        <f>Results!E11</f>
        <v>8</v>
      </c>
      <c r="E13" s="11">
        <f t="shared" si="0"/>
        <v>1.4073919867685787</v>
      </c>
      <c r="F13" s="11">
        <f t="shared" si="1"/>
        <v>-1.2823919867685787</v>
      </c>
      <c r="G13" s="11">
        <f t="shared" si="2"/>
        <v>1.5323919867685787</v>
      </c>
      <c r="I13" s="15"/>
    </row>
    <row r="14" spans="1:15">
      <c r="A14" s="13">
        <v>10</v>
      </c>
      <c r="B14" s="11">
        <f>Results!B12</f>
        <v>1.875</v>
      </c>
      <c r="C14" s="11">
        <f>Results!D12</f>
        <v>1.1259916264596033</v>
      </c>
      <c r="D14" s="4">
        <f>Results!E12</f>
        <v>8</v>
      </c>
      <c r="E14" s="11">
        <f t="shared" si="0"/>
        <v>0.78025805064803888</v>
      </c>
      <c r="F14" s="11">
        <f t="shared" si="1"/>
        <v>1.094741949351961</v>
      </c>
      <c r="G14" s="11">
        <f t="shared" si="2"/>
        <v>2.655258050648039</v>
      </c>
    </row>
    <row r="15" spans="1:15">
      <c r="A15" s="13">
        <v>11</v>
      </c>
      <c r="B15" s="11">
        <f>Results!B13</f>
        <v>1.625</v>
      </c>
      <c r="C15" s="11">
        <f>Results!D13</f>
        <v>1.0606601717798212</v>
      </c>
      <c r="D15" s="4">
        <f>Results!E13</f>
        <v>8</v>
      </c>
      <c r="E15" s="11">
        <f t="shared" si="0"/>
        <v>0.73498649420252005</v>
      </c>
      <c r="F15" s="11">
        <f t="shared" si="1"/>
        <v>0.89001350579747995</v>
      </c>
      <c r="G15" s="11">
        <f t="shared" si="2"/>
        <v>2.3599864942025199</v>
      </c>
      <c r="J15" s="84"/>
    </row>
    <row r="16" spans="1:15">
      <c r="A16" s="13">
        <v>12</v>
      </c>
      <c r="B16" s="11">
        <f>Results!B14</f>
        <v>2</v>
      </c>
      <c r="C16" s="11">
        <f>Results!D14</f>
        <v>1.0690449676496976</v>
      </c>
      <c r="D16" s="4">
        <f>Results!E14</f>
        <v>8</v>
      </c>
      <c r="E16" s="11">
        <f t="shared" si="0"/>
        <v>0.74079675453374649</v>
      </c>
      <c r="F16" s="11">
        <f t="shared" si="1"/>
        <v>1.2592032454662534</v>
      </c>
      <c r="G16" s="11">
        <f t="shared" si="2"/>
        <v>2.7407967545337466</v>
      </c>
    </row>
    <row r="17" spans="1:7">
      <c r="A17" s="13">
        <v>13</v>
      </c>
      <c r="B17" s="11">
        <f>Results!B15</f>
        <v>-0.375</v>
      </c>
      <c r="C17" s="11">
        <f>Results!D15</f>
        <v>1.5979898086569353</v>
      </c>
      <c r="D17" s="4">
        <f>Results!E15</f>
        <v>8</v>
      </c>
      <c r="E17" s="11">
        <f t="shared" si="0"/>
        <v>1.1073300935447279</v>
      </c>
      <c r="F17" s="11">
        <f t="shared" si="1"/>
        <v>-1.4823300935447279</v>
      </c>
      <c r="G17" s="11">
        <f t="shared" si="2"/>
        <v>0.73233009354472789</v>
      </c>
    </row>
    <row r="18" spans="1:7">
      <c r="A18" s="13">
        <v>14</v>
      </c>
      <c r="B18" s="11">
        <f>Results!B16</f>
        <v>2.25</v>
      </c>
      <c r="C18" s="11">
        <f>Results!D16</f>
        <v>0.70710678118654757</v>
      </c>
      <c r="D18" s="4">
        <f>Results!E16</f>
        <v>8</v>
      </c>
      <c r="E18" s="11">
        <f t="shared" si="0"/>
        <v>0.4899909961350134</v>
      </c>
      <c r="F18" s="11">
        <f t="shared" si="1"/>
        <v>1.7600090038649867</v>
      </c>
      <c r="G18" s="11">
        <f t="shared" si="2"/>
        <v>2.7399909961350133</v>
      </c>
    </row>
    <row r="19" spans="1:7">
      <c r="A19" s="13">
        <v>15</v>
      </c>
      <c r="B19" s="11">
        <f>Results!B17</f>
        <v>2</v>
      </c>
      <c r="C19" s="11">
        <f>Results!D17</f>
        <v>1.1952286093343936</v>
      </c>
      <c r="D19" s="4">
        <f>Results!E17</f>
        <v>8</v>
      </c>
      <c r="E19" s="11">
        <f t="shared" si="0"/>
        <v>0.82823595032434127</v>
      </c>
      <c r="F19" s="11">
        <f t="shared" si="1"/>
        <v>1.1717640496756587</v>
      </c>
      <c r="G19" s="11">
        <f t="shared" si="2"/>
        <v>2.8282359503243413</v>
      </c>
    </row>
    <row r="20" spans="1:7">
      <c r="A20" s="13">
        <v>16</v>
      </c>
      <c r="B20" s="11">
        <f>Results!B18</f>
        <v>2.125</v>
      </c>
      <c r="C20" s="11">
        <f>Results!D18</f>
        <v>0.83452296039628016</v>
      </c>
      <c r="D20" s="4">
        <f>Results!E18</f>
        <v>8</v>
      </c>
      <c r="E20" s="11">
        <f t="shared" si="0"/>
        <v>0.57828428116040953</v>
      </c>
      <c r="F20" s="11">
        <f t="shared" si="1"/>
        <v>1.5467157188395904</v>
      </c>
      <c r="G20" s="11">
        <f t="shared" si="2"/>
        <v>2.7032842811604096</v>
      </c>
    </row>
    <row r="21" spans="1:7">
      <c r="A21" s="13">
        <v>17</v>
      </c>
      <c r="B21" s="11">
        <f>Results!B19</f>
        <v>2.125</v>
      </c>
      <c r="C21" s="11">
        <f>Results!D19</f>
        <v>0.99103120896511487</v>
      </c>
      <c r="D21" s="4">
        <f>Results!E19</f>
        <v>8</v>
      </c>
      <c r="E21" s="11">
        <f t="shared" si="0"/>
        <v>0.68673697127731848</v>
      </c>
      <c r="F21" s="11">
        <f t="shared" si="1"/>
        <v>1.4382630287226816</v>
      </c>
      <c r="G21" s="11">
        <f t="shared" si="2"/>
        <v>2.8117369712773184</v>
      </c>
    </row>
    <row r="22" spans="1:7">
      <c r="A22" s="13">
        <v>18</v>
      </c>
      <c r="B22" s="11">
        <f>Results!B20</f>
        <v>2.125</v>
      </c>
      <c r="C22" s="11">
        <f>Results!D20</f>
        <v>1.1259916264596033</v>
      </c>
      <c r="D22" s="4">
        <f>Results!E20</f>
        <v>8</v>
      </c>
      <c r="E22" s="11">
        <f t="shared" si="0"/>
        <v>0.78025805064803888</v>
      </c>
      <c r="F22" s="11">
        <f t="shared" si="1"/>
        <v>1.344741949351961</v>
      </c>
      <c r="G22" s="11">
        <f t="shared" si="2"/>
        <v>2.905258050648039</v>
      </c>
    </row>
    <row r="23" spans="1:7">
      <c r="A23" s="13">
        <v>19</v>
      </c>
      <c r="B23" s="11">
        <f>Results!B21</f>
        <v>1.5</v>
      </c>
      <c r="C23" s="11">
        <f>Results!D21</f>
        <v>1.3093073414159542</v>
      </c>
      <c r="D23" s="4">
        <f>Results!E21</f>
        <v>8</v>
      </c>
      <c r="E23" s="11">
        <f t="shared" si="0"/>
        <v>0.90728702585873977</v>
      </c>
      <c r="F23" s="11">
        <f t="shared" si="1"/>
        <v>0.59271297414126023</v>
      </c>
      <c r="G23" s="11">
        <f t="shared" si="2"/>
        <v>2.4072870258587398</v>
      </c>
    </row>
    <row r="24" spans="1:7">
      <c r="A24" s="13">
        <v>20</v>
      </c>
      <c r="B24" s="11">
        <f>Results!B22</f>
        <v>1.25</v>
      </c>
      <c r="C24" s="11">
        <f>Results!D22</f>
        <v>1.3887301496588271</v>
      </c>
      <c r="D24" s="4">
        <f>Results!E22</f>
        <v>8</v>
      </c>
      <c r="E24" s="11">
        <f t="shared" si="0"/>
        <v>0.96232321270093424</v>
      </c>
      <c r="F24" s="11">
        <f t="shared" si="1"/>
        <v>0.28767678729906576</v>
      </c>
      <c r="G24" s="11">
        <f t="shared" si="2"/>
        <v>2.2123232127009342</v>
      </c>
    </row>
    <row r="25" spans="1:7">
      <c r="A25" s="14">
        <v>21</v>
      </c>
      <c r="B25" s="11">
        <f>Results!B23</f>
        <v>2.375</v>
      </c>
      <c r="C25" s="11">
        <f>Results!D23</f>
        <v>0.51754916950676566</v>
      </c>
      <c r="D25" s="4">
        <f>Results!E23</f>
        <v>8</v>
      </c>
      <c r="E25" s="11">
        <f t="shared" ref="E25:E30" si="6">CONFIDENCE(0.05, C25, D25)</f>
        <v>0.35863668665421294</v>
      </c>
      <c r="F25" s="11">
        <f t="shared" ref="F25:F30" si="7">B25-E25</f>
        <v>2.0163633133457872</v>
      </c>
      <c r="G25" s="11">
        <f t="shared" ref="G25:G30" si="8">B25+E25</f>
        <v>2.7336366866542128</v>
      </c>
    </row>
    <row r="26" spans="1:7">
      <c r="A26" s="14">
        <v>22</v>
      </c>
      <c r="B26" s="11">
        <f>Results!B24</f>
        <v>2.375</v>
      </c>
      <c r="C26" s="11">
        <f>Results!D24</f>
        <v>0.74402380914284494</v>
      </c>
      <c r="D26" s="4">
        <f>Results!E24</f>
        <v>8</v>
      </c>
      <c r="E26" s="11">
        <f t="shared" si="6"/>
        <v>0.51557272124914155</v>
      </c>
      <c r="F26" s="11">
        <f t="shared" si="7"/>
        <v>1.8594272787508586</v>
      </c>
      <c r="G26" s="11">
        <f t="shared" si="8"/>
        <v>2.8905727212491414</v>
      </c>
    </row>
    <row r="27" spans="1:7">
      <c r="A27" s="14">
        <v>23</v>
      </c>
      <c r="B27" s="11">
        <f>Results!B25</f>
        <v>2.125</v>
      </c>
      <c r="C27" s="11">
        <f>Results!D25</f>
        <v>0.99103120896511487</v>
      </c>
      <c r="D27" s="4">
        <f>Results!E25</f>
        <v>8</v>
      </c>
      <c r="E27" s="11">
        <f t="shared" si="6"/>
        <v>0.68673697127731848</v>
      </c>
      <c r="F27" s="11">
        <f t="shared" si="7"/>
        <v>1.4382630287226816</v>
      </c>
      <c r="G27" s="11">
        <f t="shared" si="8"/>
        <v>2.8117369712773184</v>
      </c>
    </row>
    <row r="28" spans="1:7">
      <c r="A28" s="14">
        <v>24</v>
      </c>
      <c r="B28" s="11">
        <f>Results!B26</f>
        <v>2.25</v>
      </c>
      <c r="C28" s="11">
        <f>Results!D26</f>
        <v>1.0350983390135313</v>
      </c>
      <c r="D28" s="4">
        <f>Results!E26</f>
        <v>8</v>
      </c>
      <c r="E28" s="11">
        <f t="shared" si="6"/>
        <v>0.71727337330842589</v>
      </c>
      <c r="F28" s="11">
        <f t="shared" si="7"/>
        <v>1.532726626691574</v>
      </c>
      <c r="G28" s="11">
        <f t="shared" si="8"/>
        <v>2.967273373308426</v>
      </c>
    </row>
    <row r="29" spans="1:7">
      <c r="A29" s="14">
        <v>25</v>
      </c>
      <c r="B29" s="11">
        <f>Results!B27</f>
        <v>1.5</v>
      </c>
      <c r="C29" s="11">
        <f>Results!D27</f>
        <v>1.7728105208558367</v>
      </c>
      <c r="D29" s="4">
        <f>Results!E27</f>
        <v>8</v>
      </c>
      <c r="E29" s="11">
        <f t="shared" si="6"/>
        <v>1.2284724403507239</v>
      </c>
      <c r="F29" s="11">
        <f t="shared" si="7"/>
        <v>0.27152755964927611</v>
      </c>
      <c r="G29" s="11">
        <f t="shared" si="8"/>
        <v>2.7284724403507239</v>
      </c>
    </row>
    <row r="30" spans="1:7">
      <c r="A30" s="14">
        <v>26</v>
      </c>
      <c r="B30" s="11">
        <f>Results!B28</f>
        <v>2.375</v>
      </c>
      <c r="C30" s="11">
        <f>Results!D28</f>
        <v>0.74402380914284494</v>
      </c>
      <c r="D30" s="4">
        <f>Results!E28</f>
        <v>8</v>
      </c>
      <c r="E30" s="11">
        <f t="shared" si="6"/>
        <v>0.51557272124914155</v>
      </c>
      <c r="F30" s="11">
        <f t="shared" si="7"/>
        <v>1.8594272787508586</v>
      </c>
      <c r="G30" s="11">
        <f t="shared" si="8"/>
        <v>2.8905727212491414</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42578125" style="46" customWidth="1"/>
    <col min="12" max="16384" width="8.85546875" style="46"/>
  </cols>
  <sheetData>
    <row r="1" spans="1:11" ht="82.35" customHeight="1">
      <c r="A1" s="177" t="s">
        <v>1283</v>
      </c>
      <c r="B1" s="171"/>
      <c r="C1" s="171"/>
      <c r="D1" s="171"/>
      <c r="E1" s="171"/>
      <c r="F1" s="171"/>
      <c r="G1" s="171"/>
      <c r="H1" s="171"/>
      <c r="I1" s="171"/>
      <c r="J1" s="171"/>
      <c r="K1" s="171"/>
    </row>
    <row r="2" spans="1:11">
      <c r="A2" s="88" t="s">
        <v>1289</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1</v>
      </c>
      <c r="E3" s="1">
        <f>COUNTIF(DT!A4:A1004,"-1")</f>
        <v>0</v>
      </c>
      <c r="F3" s="1">
        <f>COUNTIF(DT!A4:A1004,"0")</f>
        <v>0</v>
      </c>
      <c r="G3" s="1">
        <f>COUNTIF(DT!A4:A1004,"1")</f>
        <v>1</v>
      </c>
      <c r="H3" s="1">
        <f>COUNTIF(DT!A4:A1004,"2")</f>
        <v>4</v>
      </c>
      <c r="I3" s="1">
        <f>COUNTIF(DT!A4:A1004,"3")</f>
        <v>2</v>
      </c>
      <c r="J3" s="28"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3</v>
      </c>
      <c r="I4" s="1">
        <f>COUNTIF(DT!B4:B1004,"3")</f>
        <v>5</v>
      </c>
      <c r="J4" s="28"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4</v>
      </c>
      <c r="I5" s="1">
        <f>COUNTIF(DT!C4:C1004,"3")</f>
        <v>3</v>
      </c>
      <c r="J5" s="28"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1</v>
      </c>
      <c r="G6" s="1">
        <f>COUNTIF(DT!D4:D1004,"1")</f>
        <v>1</v>
      </c>
      <c r="H6" s="1">
        <f>COUNTIF(DT!D4:D1004,"2")</f>
        <v>5</v>
      </c>
      <c r="I6" s="1">
        <f>COUNTIF(DT!D4:D1004,"3")</f>
        <v>1</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3</v>
      </c>
      <c r="I7" s="1">
        <f>COUNTIF(DT!E4:E1004,"3")</f>
        <v>4</v>
      </c>
      <c r="J7" s="29"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1</v>
      </c>
      <c r="H8" s="1">
        <f>COUNTIF(DT!F4:F1004,"2")</f>
        <v>2</v>
      </c>
      <c r="I8" s="1">
        <f>COUNTIF(DT!F4:F1004,"3")</f>
        <v>5</v>
      </c>
      <c r="J8" s="29"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2</v>
      </c>
      <c r="I9" s="1">
        <f>COUNTIF(DT!G4:G1004,"3")</f>
        <v>5</v>
      </c>
      <c r="J9" s="29" t="str">
        <f>Results!H9</f>
        <v>Stimulation</v>
      </c>
    </row>
    <row r="10" spans="1:11">
      <c r="A10" s="2">
        <v>8</v>
      </c>
      <c r="B10" s="1" t="str">
        <f>_xlfn.CONCAT(Results!F10,"/",Results!G10)</f>
        <v>unpredictable/predictable</v>
      </c>
      <c r="C10" s="1">
        <f>COUNTIF(DT!H4:H1004,"-3")</f>
        <v>0</v>
      </c>
      <c r="D10" s="1">
        <f>COUNTIF(DT!H4:H1004,"-2")</f>
        <v>0</v>
      </c>
      <c r="E10" s="1">
        <f>COUNTIF(DT!H4:H1004,"-1")</f>
        <v>4</v>
      </c>
      <c r="F10" s="1">
        <f>COUNTIF(DT!H4:H1004,"0")</f>
        <v>0</v>
      </c>
      <c r="G10" s="1">
        <f>COUNTIF(DT!H4:H1004,"1")</f>
        <v>3</v>
      </c>
      <c r="H10" s="1">
        <f>COUNTIF(DT!H4:H1004,"2")</f>
        <v>1</v>
      </c>
      <c r="I10" s="1">
        <f>COUNTIF(DT!H4:H1004,"3")</f>
        <v>0</v>
      </c>
      <c r="J10" s="28" t="str">
        <f>Results!H10</f>
        <v>Dependability</v>
      </c>
    </row>
    <row r="11" spans="1:11">
      <c r="A11" s="2">
        <v>9</v>
      </c>
      <c r="B11" s="1" t="str">
        <f>_xlfn.CONCAT(Results!G11,"/",Results!F11)</f>
        <v>slow/fast</v>
      </c>
      <c r="C11" s="1">
        <f>COUNTIF(DT!I4:I1004,"-3")</f>
        <v>0</v>
      </c>
      <c r="D11" s="1">
        <f>COUNTIF(DT!I4:I1004,"-2")</f>
        <v>2</v>
      </c>
      <c r="E11" s="1">
        <f>COUNTIF(DT!I4:I1004,"-1")</f>
        <v>2</v>
      </c>
      <c r="F11" s="1">
        <f>COUNTIF(DT!I4:I1004,"0")</f>
        <v>1</v>
      </c>
      <c r="G11" s="1">
        <f>COUNTIF(DT!I4:I1004,"1")</f>
        <v>1</v>
      </c>
      <c r="H11" s="1">
        <f>COUNTIF(DT!I4:I1004,"2")</f>
        <v>0</v>
      </c>
      <c r="I11" s="1">
        <f>COUNTIF(DT!I4:I1004,"3")</f>
        <v>2</v>
      </c>
      <c r="J11" s="28"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1</v>
      </c>
      <c r="G12" s="1">
        <f>COUNTIF(DT!J4:J1004,"1")</f>
        <v>2</v>
      </c>
      <c r="H12" s="1">
        <f>COUNTIF(DT!J4:J1004,"2")</f>
        <v>2</v>
      </c>
      <c r="I12" s="1">
        <f>COUNTIF(DT!J4:J1004,"3")</f>
        <v>3</v>
      </c>
      <c r="J12" s="28"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1</v>
      </c>
      <c r="G13" s="1">
        <f>COUNTIF(DT!K4:K1004,"1")</f>
        <v>3</v>
      </c>
      <c r="H13" s="1">
        <f>COUNTIF(DT!K4:K1004,"2")</f>
        <v>2</v>
      </c>
      <c r="I13" s="1">
        <f>COUNTIF(DT!K4:K1004,"3")</f>
        <v>2</v>
      </c>
      <c r="J13" s="28" t="str">
        <f>Results!H13</f>
        <v>Dependability</v>
      </c>
    </row>
    <row r="14" spans="1:11">
      <c r="A14" s="2">
        <v>12</v>
      </c>
      <c r="B14" s="1" t="str">
        <f>_xlfn.CONCAT(Results!G14,"/",Results!F14)</f>
        <v>bad/good</v>
      </c>
      <c r="C14" s="1">
        <f>COUNTIF(DT!L4:L1004,"-3")</f>
        <v>0</v>
      </c>
      <c r="D14" s="1">
        <f>COUNTIF(DT!L4:L1004,"-2")</f>
        <v>0</v>
      </c>
      <c r="E14" s="1">
        <f>COUNTIF(DT!L4:L1004,"-1")</f>
        <v>0</v>
      </c>
      <c r="F14" s="1">
        <f>COUNTIF(DT!L4:L1004,"0")</f>
        <v>1</v>
      </c>
      <c r="G14" s="1">
        <f>COUNTIF(DT!L4:L1004,"1")</f>
        <v>1</v>
      </c>
      <c r="H14" s="1">
        <f>COUNTIF(DT!L4:L1004,"2")</f>
        <v>3</v>
      </c>
      <c r="I14" s="1">
        <f>COUNTIF(DT!L4:L1004,"3")</f>
        <v>3</v>
      </c>
      <c r="J14" s="28" t="str">
        <f>Results!H14</f>
        <v>Attractiveness</v>
      </c>
    </row>
    <row r="15" spans="1:11">
      <c r="A15" s="2">
        <v>13</v>
      </c>
      <c r="B15" s="1" t="str">
        <f>_xlfn.CONCAT(Results!F15,"/",Results!G15)</f>
        <v>complicated/easy</v>
      </c>
      <c r="C15" s="1">
        <f>COUNTIF(DT!M4:M1004,"-3")</f>
        <v>1</v>
      </c>
      <c r="D15" s="1">
        <f>COUNTIF(DT!M4:M1004,"-2")</f>
        <v>1</v>
      </c>
      <c r="E15" s="1">
        <f>COUNTIF(DT!M4:M1004,"-1")</f>
        <v>2</v>
      </c>
      <c r="F15" s="1">
        <f>COUNTIF(DT!M4:M1004,"0")</f>
        <v>0</v>
      </c>
      <c r="G15" s="1">
        <f>COUNTIF(DT!M4:M1004,"1")</f>
        <v>4</v>
      </c>
      <c r="H15" s="1">
        <f>COUNTIF(DT!M4:M1004,"2")</f>
        <v>0</v>
      </c>
      <c r="I15" s="1">
        <f>COUNTIF(DT!M4:M1004,"3")</f>
        <v>0</v>
      </c>
      <c r="J15" s="28"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1</v>
      </c>
      <c r="H16" s="1">
        <f>COUNTIF(DT!N4:N1004,"2")</f>
        <v>4</v>
      </c>
      <c r="I16" s="1">
        <f>COUNTIF(DT!N4:N1004,"3")</f>
        <v>3</v>
      </c>
      <c r="J16" s="28"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2</v>
      </c>
      <c r="H17" s="1">
        <f>COUNTIF(DT!O4:O1004,"2")</f>
        <v>1</v>
      </c>
      <c r="I17" s="1">
        <f>COUNTIF(DT!O4:O1004,"3")</f>
        <v>4</v>
      </c>
      <c r="J17" s="28"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2</v>
      </c>
      <c r="H18" s="1">
        <f>COUNTIF(DT!P4:P1004,"2")</f>
        <v>3</v>
      </c>
      <c r="I18" s="1">
        <f>COUNTIF(DT!P4:P1004,"3")</f>
        <v>3</v>
      </c>
      <c r="J18" s="28"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1</v>
      </c>
      <c r="G19" s="1">
        <f>COUNTIF(DT!Q4:Q1004,"1")</f>
        <v>0</v>
      </c>
      <c r="H19" s="1">
        <f>COUNTIF(DT!Q4:Q1004,"2")</f>
        <v>4</v>
      </c>
      <c r="I19" s="1">
        <f>COUNTIF(DT!Q4:Q1004,"3")</f>
        <v>3</v>
      </c>
      <c r="J19" s="28"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1</v>
      </c>
      <c r="G20" s="1">
        <f>COUNTIF(DT!R4:R1004,"1")</f>
        <v>1</v>
      </c>
      <c r="H20" s="1">
        <f>COUNTIF(DT!R4:R1004,"2")</f>
        <v>2</v>
      </c>
      <c r="I20" s="1">
        <f>COUNTIF(DT!R4:R1004,"3")</f>
        <v>4</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3</v>
      </c>
      <c r="G21" s="1">
        <f>COUNTIF(DT!S4:S1004,"1")</f>
        <v>0</v>
      </c>
      <c r="H21" s="1">
        <f>COUNTIF(DT!S4:S1004,"2")</f>
        <v>3</v>
      </c>
      <c r="I21" s="1">
        <f>COUNTIF(DT!S4:S1004,"3")</f>
        <v>2</v>
      </c>
      <c r="J21" s="28" t="str">
        <f>Results!H21</f>
        <v>Dependability</v>
      </c>
    </row>
    <row r="22" spans="1:10">
      <c r="A22" s="2">
        <v>20</v>
      </c>
      <c r="B22" s="1" t="str">
        <f>_xlfn.CONCAT(Results!F22,"/",Results!G22)</f>
        <v>inefficient/efficient</v>
      </c>
      <c r="C22" s="1">
        <f>COUNTIF(DT!T4:T1004,"-3")</f>
        <v>0</v>
      </c>
      <c r="D22" s="1">
        <f>COUNTIF(DT!T4:T1004,"-2")</f>
        <v>0</v>
      </c>
      <c r="E22" s="1">
        <f>COUNTIF(DT!T4:T1004,"-1")</f>
        <v>1</v>
      </c>
      <c r="F22" s="1">
        <f>COUNTIF(DT!T4:T1004,"0")</f>
        <v>1</v>
      </c>
      <c r="G22" s="1">
        <f>COUNTIF(DT!T4:T1004,"1")</f>
        <v>3</v>
      </c>
      <c r="H22" s="1">
        <f>COUNTIF(DT!T4:T1004,"2")</f>
        <v>1</v>
      </c>
      <c r="I22" s="1">
        <f>COUNTIF(DT!T4:T1004,"3")</f>
        <v>2</v>
      </c>
      <c r="J22" s="28" t="str">
        <f>Results!H22</f>
        <v>Efficiency</v>
      </c>
    </row>
    <row r="23" spans="1:10">
      <c r="A23" s="6">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5</v>
      </c>
      <c r="I23" s="1">
        <f>COUNTIF(DT!U4:U1004,"3")</f>
        <v>3</v>
      </c>
      <c r="J23" s="28"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0</v>
      </c>
      <c r="G24" s="1">
        <f>COUNTIF(DT!V4:V1004,"1")</f>
        <v>1</v>
      </c>
      <c r="H24" s="1">
        <f>COUNTIF(DT!V4:V1004,"2")</f>
        <v>3</v>
      </c>
      <c r="I24" s="1">
        <f>COUNTIF(DT!V4:V1004,"3")</f>
        <v>4</v>
      </c>
      <c r="J24" s="28"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1</v>
      </c>
      <c r="G25" s="1">
        <f>COUNTIF(DT!W4:W1004,"1")</f>
        <v>0</v>
      </c>
      <c r="H25" s="1">
        <f>COUNTIF(DT!W4:W1004,"2")</f>
        <v>4</v>
      </c>
      <c r="I25" s="1">
        <f>COUNTIF(DT!W4:W1004,"3")</f>
        <v>3</v>
      </c>
      <c r="J25" s="28" t="str">
        <f>Results!H25</f>
        <v>Efficiency</v>
      </c>
    </row>
    <row r="26" spans="1:10">
      <c r="A26" s="6">
        <v>24</v>
      </c>
      <c r="B26" s="1" t="str">
        <f>_xlfn.CONCAT(Results!G26,"/",Results!F26)</f>
        <v>unattractive/attractive</v>
      </c>
      <c r="C26" s="1">
        <f>COUNTIF(DT!X4:X1004,"-3")</f>
        <v>0</v>
      </c>
      <c r="D26" s="1">
        <f>COUNTIF(DT!X4:X1004,"-2")</f>
        <v>0</v>
      </c>
      <c r="E26" s="1">
        <f>COUNTIF(DT!X4:X1004,"-1")</f>
        <v>0</v>
      </c>
      <c r="F26" s="1">
        <f>COUNTIF(DT!X4:X1004,"0")</f>
        <v>0</v>
      </c>
      <c r="G26" s="1">
        <f>COUNTIF(DT!X4:X1004,"1")</f>
        <v>3</v>
      </c>
      <c r="H26" s="1">
        <f>COUNTIF(DT!X4:X1004,"2")</f>
        <v>0</v>
      </c>
      <c r="I26" s="1">
        <f>COUNTIF(DT!X4:X1004,"3")</f>
        <v>5</v>
      </c>
      <c r="J26" s="28" t="str">
        <f>Results!H26</f>
        <v>Attractiveness</v>
      </c>
    </row>
    <row r="27" spans="1:10">
      <c r="A27" s="6">
        <v>25</v>
      </c>
      <c r="B27" s="1" t="str">
        <f>_xlfn.CONCAT(Results!G27,"/",Results!F27)</f>
        <v>unfriendly/friendly</v>
      </c>
      <c r="C27" s="1">
        <f>COUNTIF(DT!Y4:Y1004,"-3")</f>
        <v>0</v>
      </c>
      <c r="D27" s="1">
        <f>COUNTIF(DT!Y4:Y1004,"-2")</f>
        <v>1</v>
      </c>
      <c r="E27" s="1">
        <f>COUNTIF(DT!Y4:Y1004,"-1")</f>
        <v>0</v>
      </c>
      <c r="F27" s="1">
        <f>COUNTIF(DT!Y4:Y1004,"0")</f>
        <v>1</v>
      </c>
      <c r="G27" s="1">
        <f>COUNTIF(DT!Y4:Y1004,"1")</f>
        <v>1</v>
      </c>
      <c r="H27" s="1">
        <f>COUNTIF(DT!Y4:Y1004,"2")</f>
        <v>2</v>
      </c>
      <c r="I27" s="1">
        <f>COUNTIF(DT!Y4:Y1004,"3")</f>
        <v>3</v>
      </c>
      <c r="J27" s="28" t="str">
        <f>Results!H27</f>
        <v>Attractiveness</v>
      </c>
    </row>
    <row r="28" spans="1:10">
      <c r="A28" s="6">
        <v>26</v>
      </c>
      <c r="B28" s="1" t="str">
        <f>_xlfn.CONCAT(Results!F28,"/",Results!G28)</f>
        <v>conservative/innovative</v>
      </c>
      <c r="C28" s="1">
        <f>COUNTIF(DT!Z4:Z1004,"-3")</f>
        <v>0</v>
      </c>
      <c r="D28" s="1">
        <f>COUNTIF(DT!Z4:Z1004,"-2")</f>
        <v>0</v>
      </c>
      <c r="E28" s="1">
        <f>COUNTIF(DT!Z4:Z1004,"-1")</f>
        <v>0</v>
      </c>
      <c r="F28" s="1">
        <f>COUNTIF(DT!Z4:Z1004,"0")</f>
        <v>0</v>
      </c>
      <c r="G28" s="1">
        <f>COUNTIF(DT!Z4:Z1004,"1")</f>
        <v>1</v>
      </c>
      <c r="H28" s="1">
        <f>COUNTIF(DT!Z4:Z1004,"2")</f>
        <v>3</v>
      </c>
      <c r="I28" s="1">
        <f>COUNTIF(DT!Z4:Z1004,"3")</f>
        <v>4</v>
      </c>
      <c r="J28" s="28"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58" t="s">
        <v>1278</v>
      </c>
      <c r="B1" s="183"/>
      <c r="C1" s="183"/>
      <c r="D1" s="183"/>
      <c r="E1" s="183"/>
      <c r="F1" s="183"/>
      <c r="G1" s="183"/>
      <c r="H1" s="183"/>
      <c r="I1" s="183"/>
      <c r="J1" s="183"/>
      <c r="K1" s="183"/>
      <c r="L1" s="183"/>
      <c r="M1" s="183"/>
      <c r="N1" s="183"/>
      <c r="O1" s="183"/>
      <c r="P1" s="183"/>
      <c r="Q1" s="183"/>
      <c r="R1" s="183"/>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3.1" customHeight="1">
      <c r="A3" s="184" t="s">
        <v>1464</v>
      </c>
      <c r="B3" s="177"/>
      <c r="C3" s="177"/>
      <c r="D3" s="177"/>
      <c r="E3" s="177"/>
      <c r="F3" s="177"/>
      <c r="G3" s="177"/>
      <c r="H3" s="177"/>
      <c r="I3" s="177"/>
      <c r="J3" s="177"/>
      <c r="K3" s="177"/>
      <c r="L3" s="177"/>
      <c r="M3" s="177"/>
      <c r="N3" s="177"/>
      <c r="O3" s="177"/>
      <c r="P3" s="177"/>
      <c r="Q3" s="177"/>
      <c r="R3" s="56"/>
    </row>
    <row r="5" spans="1:18">
      <c r="A5" s="162" t="str">
        <f>VLOOKUP(Read_First!B5,Items!A1:BI50,54,FALSE)</f>
        <v>Attractiveness</v>
      </c>
      <c r="B5" s="162"/>
      <c r="D5" s="166" t="str">
        <f>VLOOKUP(Read_First!B5,Items!A1:BI50,55,FALSE)</f>
        <v>Perspicuity</v>
      </c>
      <c r="E5" s="166"/>
      <c r="G5" s="166" t="str">
        <f>VLOOKUP(Read_First!B5,Items!A1:BI50,56,FALSE)</f>
        <v>Efficiency</v>
      </c>
      <c r="H5" s="166"/>
      <c r="J5" s="166" t="str">
        <f>VLOOKUP(Read_First!B5,Items!A1:BI50,57,FALSE)</f>
        <v>Dependability</v>
      </c>
      <c r="K5" s="166"/>
      <c r="M5" s="166" t="str">
        <f>VLOOKUP(Read_First!B5,Items!A1:BI50,58,FALSE)</f>
        <v>Stimulation</v>
      </c>
      <c r="N5" s="166"/>
      <c r="P5" s="166" t="str">
        <f>VLOOKUP(Read_First!B5,Items!A1:BI50,59,FALSE)</f>
        <v>Novelty</v>
      </c>
      <c r="Q5" s="166"/>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-0.33449680400283632</v>
      </c>
      <c r="D7" s="94" t="s">
        <v>5</v>
      </c>
      <c r="E7" s="95">
        <f>CORREL(DT!B4:B1004,DT!D4:D1004)</f>
        <v>7.7849894416152296E-2</v>
      </c>
      <c r="G7" s="94" t="s">
        <v>11</v>
      </c>
      <c r="H7" s="95">
        <f>CORREL(DT!I4:I1004,DT!T4:T1004)</f>
        <v>0.7977240352174656</v>
      </c>
      <c r="J7" s="94" t="s">
        <v>17</v>
      </c>
      <c r="K7" s="95">
        <f>CORREL(DT!H4:H1004,DT!K4:K1004)</f>
        <v>0.4727571907759795</v>
      </c>
      <c r="M7" s="94" t="s">
        <v>24</v>
      </c>
      <c r="N7" s="95">
        <f>CORREL(DT!E4:E1004,DT!F4:F1004)</f>
        <v>0.1270001270001905</v>
      </c>
      <c r="P7" s="94" t="s">
        <v>34</v>
      </c>
      <c r="Q7" s="95">
        <f>CORREL(DT!C4:C1004,DT!J4:J1004)</f>
        <v>0.58312969522113356</v>
      </c>
    </row>
    <row r="8" spans="1:18">
      <c r="A8" s="40" t="s">
        <v>37</v>
      </c>
      <c r="B8" s="41">
        <f>CORREL(DT!A4:A1004,DT!N4:N1004)</f>
        <v>0.85338838067536882</v>
      </c>
      <c r="D8" s="40" t="s">
        <v>6</v>
      </c>
      <c r="E8" s="41">
        <f>CORREL(DT!B4:B1004,DT!M4:M1004)</f>
        <v>0.15114173098063566</v>
      </c>
      <c r="G8" s="40" t="s">
        <v>12</v>
      </c>
      <c r="H8" s="41">
        <f>CORREL(DT!I4:I1004,DT!V4:V1004)</f>
        <v>0.81538412895671675</v>
      </c>
      <c r="J8" s="40" t="s">
        <v>18</v>
      </c>
      <c r="K8" s="41">
        <f>CORREL(DT!H4:H1004,DT!Q4:Q1004)</f>
        <v>0.33249633682506918</v>
      </c>
      <c r="M8" s="40" t="s">
        <v>25</v>
      </c>
      <c r="N8" s="41">
        <f>CORREL(DT!E4:E1004,DT!G4:G1004)</f>
        <v>0.1270001270001905</v>
      </c>
      <c r="P8" s="40" t="s">
        <v>33</v>
      </c>
      <c r="Q8" s="41">
        <f>CORREL(DT!C4:C1004,DT!O4:O1004)</f>
        <v>0.50709255283710986</v>
      </c>
    </row>
    <row r="9" spans="1:18">
      <c r="A9" s="40" t="s">
        <v>38</v>
      </c>
      <c r="B9" s="41">
        <f>CORREL(DT!A4:A1004,DT!P4:P1004)</f>
        <v>0.25442118947371223</v>
      </c>
      <c r="D9" s="40" t="s">
        <v>7</v>
      </c>
      <c r="E9" s="41">
        <f>CORREL(DT!B4:B1004,DT!U4:U1004)</f>
        <v>6.6666666666666652E-2</v>
      </c>
      <c r="G9" s="40" t="s">
        <v>13</v>
      </c>
      <c r="H9" s="41">
        <f>CORREL(DT!I4:I1004,DT!W4:W1004)</f>
        <v>0.27502638419458664</v>
      </c>
      <c r="J9" s="40" t="s">
        <v>19</v>
      </c>
      <c r="K9" s="41">
        <f>CORREL(DT!H4:H1004,DT!S4:S1004)</f>
        <v>4.3768810953240853E-2</v>
      </c>
      <c r="M9" s="40" t="s">
        <v>26</v>
      </c>
      <c r="N9" s="41">
        <f>CORREL(DT!E4:E1004,DT!R4:R1004)</f>
        <v>-0.23446750597571814</v>
      </c>
      <c r="P9" s="40" t="s">
        <v>32</v>
      </c>
      <c r="Q9" s="41">
        <f>CORREL(DT!C4:C1004,DT!Z4:Z1004)</f>
        <v>0.61095980997191768</v>
      </c>
    </row>
    <row r="10" spans="1:18">
      <c r="A10" s="40" t="s">
        <v>39</v>
      </c>
      <c r="B10" s="41">
        <f>CORREL(DT!A4:A1004,DT!X4:X1004)</f>
        <v>0.66934195148567222</v>
      </c>
      <c r="D10" s="40" t="s">
        <v>8</v>
      </c>
      <c r="E10" s="41">
        <f>CORREL(DT!D4:D1004,DT!M4:M1004)</f>
        <v>0.3277773886785445</v>
      </c>
      <c r="G10" s="40" t="s">
        <v>14</v>
      </c>
      <c r="H10" s="41">
        <f>CORREL(DT!T4:T1004,DT!V4:V1004)</f>
        <v>0.86412641227535436</v>
      </c>
      <c r="J10" s="40" t="s">
        <v>20</v>
      </c>
      <c r="K10" s="41">
        <f>CORREL(DT!K4:K1004,DT!Q4:Q1004)</f>
        <v>0.7304943077272632</v>
      </c>
      <c r="M10" s="40" t="s">
        <v>27</v>
      </c>
      <c r="N10" s="41">
        <f>CORREL(DT!F4:F1004,DT!G4:G1004)</f>
        <v>0.99999999999999978</v>
      </c>
      <c r="P10" s="40" t="s">
        <v>31</v>
      </c>
      <c r="Q10" s="41">
        <f>CORREL(DT!J4:J1004,DT!O4:O1004)</f>
        <v>0.53074489243427525</v>
      </c>
    </row>
    <row r="11" spans="1:18">
      <c r="A11" s="40" t="s">
        <v>40</v>
      </c>
      <c r="B11" s="41">
        <f>CORREL(DT!A4:A1004,DT!Y4:Y1004)</f>
        <v>0.93290487546970358</v>
      </c>
      <c r="D11" s="40" t="s">
        <v>9</v>
      </c>
      <c r="E11" s="41">
        <f>CORREL(DT!D4:D1004,DT!U4:U1004)</f>
        <v>-0.38924947208076149</v>
      </c>
      <c r="G11" s="40" t="s">
        <v>15</v>
      </c>
      <c r="H11" s="41">
        <f>CORREL(DT!T4:T1004,DT!W4:W1004)</f>
        <v>7.7849894416152282E-2</v>
      </c>
      <c r="J11" s="40" t="s">
        <v>21</v>
      </c>
      <c r="K11" s="41">
        <f>CORREL(DT!K4:K1004,DT!S4:S1004)</f>
        <v>0.77151674981045948</v>
      </c>
      <c r="M11" s="40" t="s">
        <v>28</v>
      </c>
      <c r="N11" s="41">
        <f>CORREL(DT!F4:F1004,DT!R4:R1004)</f>
        <v>0.58742695080768226</v>
      </c>
      <c r="P11" s="40" t="s">
        <v>30</v>
      </c>
      <c r="Q11" s="41">
        <f>CORREL(DT!J4:J1004,DT!Z4:Z1004)</f>
        <v>0.74603297355910314</v>
      </c>
    </row>
    <row r="12" spans="1:18">
      <c r="A12" s="40" t="s">
        <v>41</v>
      </c>
      <c r="B12" s="41">
        <f>CORREL(DT!L4:L1004,DT!N4:N1004)</f>
        <v>0</v>
      </c>
      <c r="D12" s="40" t="s">
        <v>10</v>
      </c>
      <c r="E12" s="41">
        <f>CORREL(DT!M4:M1004,DT!U4:U1004)</f>
        <v>0.3670584895244009</v>
      </c>
      <c r="G12" s="40" t="s">
        <v>16</v>
      </c>
      <c r="H12" s="41">
        <f>CORREL(DT!V4:V1004,DT!W4:W1004)</f>
        <v>0.1210898699241207</v>
      </c>
      <c r="J12" s="40" t="s">
        <v>22</v>
      </c>
      <c r="K12" s="41">
        <f>CORREL(DT!Q4:Q1004,DT!S4:S1004)</f>
        <v>0.71562644733213443</v>
      </c>
      <c r="M12" s="40" t="s">
        <v>23</v>
      </c>
      <c r="N12" s="41">
        <f>CORREL(DT!G4:G1004,DT!R4:R1004)</f>
        <v>0.58742695080768226</v>
      </c>
      <c r="P12" s="40" t="s">
        <v>29</v>
      </c>
      <c r="Q12" s="41">
        <f>CORREL(DT!O4:O1004,DT!Z4:Z1004)</f>
        <v>0.80321932890249881</v>
      </c>
    </row>
    <row r="13" spans="1:18">
      <c r="A13" s="40" t="s">
        <v>42</v>
      </c>
      <c r="B13" s="41">
        <f>CORREL(DT!L4:L1004,DT!P4:P1004)</f>
        <v>0.48038446141526137</v>
      </c>
      <c r="D13" s="42" t="s">
        <v>826</v>
      </c>
      <c r="E13" s="41">
        <f>AVERAGE(E7:E12)</f>
        <v>0.10020744969760642</v>
      </c>
      <c r="G13" s="42" t="s">
        <v>826</v>
      </c>
      <c r="H13" s="41">
        <f>AVERAGE(H7:H12)</f>
        <v>0.49186678749739937</v>
      </c>
      <c r="J13" s="42" t="s">
        <v>826</v>
      </c>
      <c r="K13" s="41">
        <f>AVERAGE(K7:K12)</f>
        <v>0.51110997390402446</v>
      </c>
      <c r="M13" s="42" t="s">
        <v>826</v>
      </c>
      <c r="N13" s="41">
        <f>AVERAGE(N7:N12)</f>
        <v>0.36573110827333782</v>
      </c>
      <c r="P13" s="42" t="s">
        <v>826</v>
      </c>
      <c r="Q13" s="41">
        <f>AVERAGE(Q7:Q12)</f>
        <v>0.63019654215433973</v>
      </c>
    </row>
    <row r="14" spans="1:18">
      <c r="A14" s="40" t="s">
        <v>43</v>
      </c>
      <c r="B14" s="41">
        <f>CORREL(DT!L4:L1004,DT!X4:X1004)</f>
        <v>0.2581988897471611</v>
      </c>
      <c r="C14" s="8"/>
      <c r="D14" s="57" t="s">
        <v>4</v>
      </c>
      <c r="E14" s="58">
        <f>(4*E13)/(1+(3*E13))</f>
        <v>0.30818307794726379</v>
      </c>
      <c r="F14" s="60"/>
      <c r="G14" s="57" t="s">
        <v>4</v>
      </c>
      <c r="H14" s="58">
        <f>(4*H13)/(1+(3*H13))</f>
        <v>0.79474344074216385</v>
      </c>
      <c r="I14" s="60"/>
      <c r="J14" s="57" t="s">
        <v>4</v>
      </c>
      <c r="K14" s="58">
        <f>(4*K13)/(1+(3*K13))</f>
        <v>0.80701683507311428</v>
      </c>
      <c r="L14" s="60"/>
      <c r="M14" s="57" t="s">
        <v>4</v>
      </c>
      <c r="N14" s="58">
        <f>(4*N13)/(1+(3*N13))</f>
        <v>0.69756298371725134</v>
      </c>
      <c r="O14" s="59"/>
      <c r="P14" s="57" t="s">
        <v>4</v>
      </c>
      <c r="Q14" s="58">
        <f>(4*Q13)/(1+(3*Q13))</f>
        <v>0.87206642739593621</v>
      </c>
    </row>
    <row r="15" spans="1:18">
      <c r="A15" s="40" t="s">
        <v>44</v>
      </c>
      <c r="B15" s="41">
        <f>CORREL(DT!L4:L1004,DT!Y4:Y1004)</f>
        <v>-7.5377836144440907E-2</v>
      </c>
      <c r="D15" s="178" t="s">
        <v>1463</v>
      </c>
      <c r="E15" s="146">
        <f>1-EXP(LN(1-E14)+1.96*SQRT(8/(3*(Results!E3-2))))</f>
        <v>-1.5554612731355579</v>
      </c>
      <c r="F15" s="46"/>
      <c r="G15" s="178" t="s">
        <v>1463</v>
      </c>
      <c r="H15" s="146">
        <f>1-EXP(LN(1-H14)+1.96*SQRT(8/(3*(Results!E3-2))))</f>
        <v>0.24181503585645103</v>
      </c>
      <c r="I15" s="46"/>
      <c r="J15" s="178" t="s">
        <v>1463</v>
      </c>
      <c r="K15" s="146">
        <f>1-EXP(LN(1-K14)+1.96*SQRT(8/(3*(Results!E3-2))))</f>
        <v>0.28715099527415744</v>
      </c>
      <c r="L15" s="46"/>
      <c r="M15" s="178" t="s">
        <v>1463</v>
      </c>
      <c r="N15" s="146">
        <f>1-EXP(LN(1-N14)+1.96*SQRT(8/(3*(Results!E3-2))))</f>
        <v>-0.1171540591693101</v>
      </c>
      <c r="O15" s="46"/>
      <c r="P15" s="178" t="s">
        <v>1463</v>
      </c>
      <c r="Q15" s="146">
        <f>1-EXP(LN(1-Q14)+1.96*SQRT(8/(3*(Results!E3-2))))</f>
        <v>0.52743380524213324</v>
      </c>
    </row>
    <row r="16" spans="1:18">
      <c r="A16" s="40" t="s">
        <v>45</v>
      </c>
      <c r="B16" s="41">
        <f>CORREL(DT!N4:N1004,DT!P4:P1004)</f>
        <v>0.66575028593568264</v>
      </c>
      <c r="D16" s="179"/>
      <c r="E16" s="146">
        <f>1-EXP(LN(1-E14)-1.96*SQRT(8/(3*(Results!E3-2))))</f>
        <v>0.81271066062712627</v>
      </c>
      <c r="G16" s="179"/>
      <c r="H16" s="146">
        <f>1-EXP(LN(1-H14)-1.96*SQRT(8/(3*(Results!E3-2))))</f>
        <v>0.94443274779795161</v>
      </c>
      <c r="J16" s="179"/>
      <c r="K16" s="146">
        <f>1-EXP(LN(1-K14)-1.96*SQRT(8/(3*(Results!E3-2))))</f>
        <v>0.94775541285980913</v>
      </c>
      <c r="M16" s="179"/>
      <c r="N16" s="146">
        <f>1-EXP(LN(1-N14)-1.96*SQRT(8/(3*(Results!E3-2))))</f>
        <v>0.91812396144715691</v>
      </c>
      <c r="P16" s="179"/>
      <c r="Q16" s="146">
        <f>1-EXP(LN(1-Q14)-1.96*SQRT(8/(3*(Results!E3-2))))</f>
        <v>0.96536570076150841</v>
      </c>
    </row>
    <row r="17" spans="1:18">
      <c r="A17" s="40" t="s">
        <v>46</v>
      </c>
      <c r="B17" s="41">
        <f>CORREL(DT!N4:N1004,DT!X4:X1004)</f>
        <v>0.68313005106397318</v>
      </c>
    </row>
    <row r="18" spans="1:18">
      <c r="A18" s="40" t="s">
        <v>47</v>
      </c>
      <c r="B18" s="41">
        <f>CORREL(DT!N4:N1004,DT!Y4:Y1004)</f>
        <v>0.91168461167710357</v>
      </c>
    </row>
    <row r="19" spans="1:18">
      <c r="A19" s="40" t="s">
        <v>48</v>
      </c>
      <c r="B19" s="41">
        <f>CORREL(DT!P4:P1004,DT!X4:X1004)</f>
        <v>0.45479402682709763</v>
      </c>
    </row>
    <row r="20" spans="1:18">
      <c r="A20" s="40" t="s">
        <v>116</v>
      </c>
      <c r="B20" s="41">
        <f>CORREL(DT!P4:P1004,DT!Y4:Y1004)</f>
        <v>0.4345240946267408</v>
      </c>
    </row>
    <row r="21" spans="1:18">
      <c r="A21" s="40" t="s">
        <v>35</v>
      </c>
      <c r="B21" s="41">
        <f>CORREL(DT!X4:X1004,DT!Y4:Y1004)</f>
        <v>0.8563488385776753</v>
      </c>
    </row>
    <row r="22" spans="1:18">
      <c r="A22" s="42" t="s">
        <v>826</v>
      </c>
      <c r="B22" s="41">
        <f>AVERAGE(B7:B21)</f>
        <v>0.46966646778852505</v>
      </c>
    </row>
    <row r="23" spans="1:18">
      <c r="A23" s="57" t="s">
        <v>4</v>
      </c>
      <c r="B23" s="58">
        <f>(6*B22)/(1+(5*B22))</f>
        <v>0.84161263622387339</v>
      </c>
    </row>
    <row r="24" spans="1:18">
      <c r="A24" s="178" t="s">
        <v>1463</v>
      </c>
      <c r="B24" s="146">
        <f>1-EXP(LN(1-B23)+1.96*SQRT(12/(5*(Results!E3-2))))</f>
        <v>0.452886353091147</v>
      </c>
    </row>
    <row r="25" spans="1:18" s="142" customFormat="1">
      <c r="A25" s="179"/>
      <c r="B25" s="146">
        <f>1-EXP(LN(1-B23)-1.96*SQRT(12/(5*(Results!E3-2))))</f>
        <v>0.95414744789188122</v>
      </c>
    </row>
    <row r="26" spans="1:18">
      <c r="A26" s="46"/>
      <c r="B26" s="46"/>
    </row>
    <row r="27" spans="1:18" ht="66.599999999999994" customHeight="1">
      <c r="A27" s="180" t="s">
        <v>1279</v>
      </c>
      <c r="B27" s="181"/>
      <c r="C27" s="181"/>
      <c r="D27" s="181"/>
      <c r="E27" s="181"/>
      <c r="F27" s="181"/>
      <c r="G27" s="181"/>
      <c r="H27" s="181"/>
      <c r="I27" s="181"/>
      <c r="J27" s="181"/>
      <c r="K27" s="181"/>
      <c r="L27" s="181"/>
      <c r="M27" s="181"/>
      <c r="N27" s="181"/>
      <c r="O27" s="181"/>
      <c r="P27" s="181"/>
      <c r="Q27" s="181"/>
      <c r="R27" s="181"/>
    </row>
    <row r="29" spans="1:18">
      <c r="A29" s="182" t="str">
        <f>VLOOKUP(Read_First!B5,Items!A1:BI50,54,FALSE)</f>
        <v>Attractiveness</v>
      </c>
      <c r="B29" s="182"/>
      <c r="C29" s="46"/>
      <c r="D29" s="182" t="str">
        <f>VLOOKUP(Read_First!B5,Items!A1:BI50,55,FALSE)</f>
        <v>Perspicuity</v>
      </c>
      <c r="E29" s="182"/>
      <c r="F29" s="46"/>
      <c r="G29" s="182" t="str">
        <f>VLOOKUP(Read_First!B5,Items!A1:BI50,56,FALSE)</f>
        <v>Efficiency</v>
      </c>
      <c r="H29" s="182"/>
      <c r="I29" s="46"/>
      <c r="J29" s="182" t="str">
        <f>VLOOKUP(Read_First!B5,Items!A1:BI50,57,FALSE)</f>
        <v>Dependability</v>
      </c>
      <c r="K29" s="182"/>
      <c r="L29" s="46"/>
      <c r="M29" s="182" t="str">
        <f>VLOOKUP(Read_First!B5,Items!A1:BI5,58,FALSE)</f>
        <v>Stimulation</v>
      </c>
      <c r="N29" s="182"/>
      <c r="O29" s="46"/>
      <c r="P29" s="182" t="str">
        <f>VLOOKUP(Read_First!B5,Items!A1:BI55,59,FALSE)</f>
        <v>Novelty</v>
      </c>
      <c r="Q29" s="182"/>
    </row>
    <row r="30" spans="1:18">
      <c r="A30" s="53" t="s">
        <v>1277</v>
      </c>
      <c r="B30" s="53">
        <f>1-((Results!C3+Results!C14+Results!C16+Results!C18+Results!C26+Results!C27)/(36*(Results!M3)))</f>
        <v>0.68045112781954897</v>
      </c>
      <c r="C30" s="46"/>
      <c r="D30" s="53" t="s">
        <v>1277</v>
      </c>
      <c r="E30" s="53">
        <f>1-((Results!C4+Results!C6+Results!C15+Results!C23)/(16*(Results!M4)))</f>
        <v>0.28382838283828393</v>
      </c>
      <c r="F30" s="46"/>
      <c r="G30" s="53" t="s">
        <v>1277</v>
      </c>
      <c r="H30" s="53">
        <f>1-((Results!C11+Results!C22+Results!C24+Results!C25)/(16*(Results!M5)))</f>
        <v>0.57457457457457461</v>
      </c>
      <c r="I30" s="46"/>
      <c r="J30" s="53" t="s">
        <v>1277</v>
      </c>
      <c r="K30" s="53">
        <f>1-((Results!C10+Results!C13+Results!C19+Results!C21)/(16*(Results!M6)))</f>
        <v>0.59047619047619049</v>
      </c>
      <c r="L30" s="46"/>
      <c r="M30" s="53" t="s">
        <v>1277</v>
      </c>
      <c r="N30" s="53">
        <f>1-((Results!C7+Results!C8+Results!C9+Results!C20)/(16*(Results!M7)))</f>
        <v>0.50595238095238093</v>
      </c>
      <c r="O30" s="46"/>
      <c r="P30" s="53" t="s">
        <v>1277</v>
      </c>
      <c r="Q30" s="53">
        <f>1-((Results!C5+Results!C12+Results!C17+Results!C28)/(16*(Results!M8)))</f>
        <v>0.63541666666666674</v>
      </c>
    </row>
    <row r="32" spans="1:18">
      <c r="A32" s="97" t="s">
        <v>0</v>
      </c>
      <c r="B32" s="70" t="s">
        <v>1274</v>
      </c>
      <c r="D32" s="97" t="s">
        <v>0</v>
      </c>
      <c r="E32" s="70" t="s">
        <v>1274</v>
      </c>
      <c r="G32" s="97" t="s">
        <v>0</v>
      </c>
      <c r="H32" s="70" t="s">
        <v>1274</v>
      </c>
      <c r="J32" s="97" t="s">
        <v>0</v>
      </c>
      <c r="K32" s="70" t="s">
        <v>1274</v>
      </c>
      <c r="M32" s="97" t="s">
        <v>0</v>
      </c>
      <c r="N32" s="70" t="s">
        <v>1274</v>
      </c>
      <c r="P32" s="93" t="s">
        <v>0</v>
      </c>
      <c r="Q32" s="96" t="s">
        <v>1274</v>
      </c>
    </row>
    <row r="33" spans="1:17">
      <c r="A33" s="40" t="s">
        <v>36</v>
      </c>
      <c r="B33" s="41">
        <f>COVAR(DT!A4:A1004,DT!L4:L1004)^2</f>
        <v>0.25</v>
      </c>
      <c r="D33" s="40" t="s">
        <v>5</v>
      </c>
      <c r="E33" s="41">
        <f>_xlfn.COVARIANCE.S(DT!B4:B1004,DT!D4:D1004)^2</f>
        <v>1.2755102040816326E-3</v>
      </c>
      <c r="G33" s="40" t="s">
        <v>11</v>
      </c>
      <c r="H33" s="41">
        <f>COVAR(DT!I4:I1004,DT!T4:T1004)^2</f>
        <v>3.8759765625</v>
      </c>
      <c r="J33" s="40" t="s">
        <v>17</v>
      </c>
      <c r="K33" s="41">
        <f>COVAR(DT!H4:H1004,DT!K4:K1004)^2</f>
        <v>0.299072265625</v>
      </c>
      <c r="M33" s="40" t="s">
        <v>24</v>
      </c>
      <c r="N33" s="41">
        <f>COVAR(DT!E4:E1004,DT!F4:F1004)^2</f>
        <v>3.90625E-3</v>
      </c>
      <c r="P33" s="40" t="s">
        <v>34</v>
      </c>
      <c r="Q33" s="41">
        <f>COVAR(DT!C4:C1004,DT!J4:J1004)^2</f>
        <v>0.1650390625</v>
      </c>
    </row>
    <row r="34" spans="1:17">
      <c r="A34" s="40" t="s">
        <v>37</v>
      </c>
      <c r="B34" s="41">
        <f>COVAR(DT!A4:A1004,DT!N4:N1004)^2</f>
        <v>0.7119140625</v>
      </c>
      <c r="D34" s="40" t="s">
        <v>6</v>
      </c>
      <c r="E34" s="41">
        <f>_xlfn.COVARIANCE.S(DT!B4:B1004,DT!M4:M1004)^2</f>
        <v>1.5625E-2</v>
      </c>
      <c r="G34" s="40" t="s">
        <v>12</v>
      </c>
      <c r="H34" s="41">
        <f>COVAR(DT!I4:I1004,DT!V4:V1004)^2</f>
        <v>1.162353515625</v>
      </c>
      <c r="J34" s="40" t="s">
        <v>18</v>
      </c>
      <c r="K34" s="41">
        <f>COVAR(DT!H4:H1004,DT!Q4:Q1004)^2</f>
        <v>0.129150390625</v>
      </c>
      <c r="M34" s="40" t="s">
        <v>25</v>
      </c>
      <c r="N34" s="41">
        <f>COVAR(DT!E4:E1004,DT!G4:G1004)^2</f>
        <v>3.90625E-3</v>
      </c>
      <c r="P34" s="40" t="s">
        <v>33</v>
      </c>
      <c r="Q34" s="41">
        <f>COVAR(DT!C4:C1004,DT!O4:O1004)^2</f>
        <v>0.140625</v>
      </c>
    </row>
    <row r="35" spans="1:17">
      <c r="A35" s="40" t="s">
        <v>38</v>
      </c>
      <c r="B35" s="41">
        <f>COVAR(DT!A4:A1004,DT!P4:P1004)^2</f>
        <v>8.8134765625E-2</v>
      </c>
      <c r="D35" s="40" t="s">
        <v>7</v>
      </c>
      <c r="E35" s="41">
        <f>_xlfn.COVARIANCE.S(DT!B4:B1004,DT!U4:U1004)^2</f>
        <v>3.1887755102040814E-4</v>
      </c>
      <c r="G35" s="40" t="s">
        <v>13</v>
      </c>
      <c r="H35" s="41">
        <f>COVAR(DT!I4:I1004,DT!W4:W1004)^2</f>
        <v>0.234619140625</v>
      </c>
      <c r="J35" s="40" t="s">
        <v>19</v>
      </c>
      <c r="K35" s="41">
        <f>COVAR(DT!H4:H1004,DT!S4:S1004)^2</f>
        <v>3.90625E-3</v>
      </c>
      <c r="M35" s="40" t="s">
        <v>26</v>
      </c>
      <c r="N35" s="41">
        <f>COVAR(DT!E4:E1004,DT!R4:R1004)^2</f>
        <v>2.9541015625E-2</v>
      </c>
      <c r="P35" s="40" t="s">
        <v>32</v>
      </c>
      <c r="Q35" s="41">
        <f>COVAR(DT!C4:C1004,DT!Z4:Z1004)^2</f>
        <v>7.91015625E-2</v>
      </c>
    </row>
    <row r="36" spans="1:17">
      <c r="A36" s="40" t="s">
        <v>39</v>
      </c>
      <c r="B36" s="41">
        <f>COVAR(DT!A4:A1004,DT!X4:X1004)^2</f>
        <v>0.9384765625</v>
      </c>
      <c r="D36" s="40" t="s">
        <v>8</v>
      </c>
      <c r="E36" s="41">
        <f>_xlfn.COVARIANCE.S(DT!D4:D1004,DT!M4:M1004)^2</f>
        <v>0.21556122448979592</v>
      </c>
      <c r="G36" s="40" t="s">
        <v>14</v>
      </c>
      <c r="H36" s="41">
        <f>COVAR(DT!T4:T1004,DT!V4:V1004)^2</f>
        <v>0.6103515625</v>
      </c>
      <c r="J36" s="40" t="s">
        <v>20</v>
      </c>
      <c r="K36" s="41">
        <f>COVAR(DT!K4:K1004,DT!Q4:Q1004)^2</f>
        <v>0.451416015625</v>
      </c>
      <c r="M36" s="40" t="s">
        <v>27</v>
      </c>
      <c r="N36" s="41">
        <f>COVAR(DT!F4:F1004,DT!G4:G1004)^2</f>
        <v>0.25</v>
      </c>
      <c r="P36" s="40" t="s">
        <v>31</v>
      </c>
      <c r="Q36" s="41">
        <f>COVAR(DT!J4:J1004,DT!O4:O1004)^2</f>
        <v>0.390625</v>
      </c>
    </row>
    <row r="37" spans="1:17">
      <c r="A37" s="40" t="s">
        <v>40</v>
      </c>
      <c r="B37" s="41">
        <f>COVAR(DT!A4:A1004,DT!Y4:Y1004)^2</f>
        <v>5.34765625</v>
      </c>
      <c r="D37" s="40" t="s">
        <v>9</v>
      </c>
      <c r="E37" s="41">
        <f>_xlfn.COVARIANCE.S(DT!D4:D1004,DT!U4:U1004)^2</f>
        <v>3.1887755102040817E-2</v>
      </c>
      <c r="G37" s="40" t="s">
        <v>15</v>
      </c>
      <c r="H37" s="41">
        <f>COVAR(DT!T4:T1004,DT!W4:W1004)^2</f>
        <v>8.7890625E-3</v>
      </c>
      <c r="J37" s="40" t="s">
        <v>21</v>
      </c>
      <c r="K37" s="41">
        <f>COVAR(DT!K4:K1004,DT!S4:S1004)^2</f>
        <v>0.87890625</v>
      </c>
      <c r="M37" s="40" t="s">
        <v>28</v>
      </c>
      <c r="N37" s="41">
        <f>COVAR(DT!F4:F1004,DT!R4:R1004)^2</f>
        <v>0.19140625</v>
      </c>
      <c r="P37" s="40" t="s">
        <v>30</v>
      </c>
      <c r="Q37" s="41">
        <f>COVAR(DT!J4:J1004,DT!Z4:Z1004)^2</f>
        <v>0.299072265625</v>
      </c>
    </row>
    <row r="38" spans="1:17">
      <c r="A38" s="40" t="s">
        <v>41</v>
      </c>
      <c r="B38" s="41">
        <f>COVAR(DT!L4:L1004,DT!N4:N1004)^2</f>
        <v>0</v>
      </c>
      <c r="D38" s="40" t="s">
        <v>10</v>
      </c>
      <c r="E38" s="41">
        <f>_xlfn.COVARIANCE.S(DT!M4:M1004,DT!U4:U1004)^2</f>
        <v>9.2155612244897947E-2</v>
      </c>
      <c r="G38" s="40" t="s">
        <v>16</v>
      </c>
      <c r="H38" s="41">
        <f>COVAR(DT!V4:V1004,DT!W4:W1004)^2</f>
        <v>6.103515625E-3</v>
      </c>
      <c r="J38" s="40" t="s">
        <v>22</v>
      </c>
      <c r="K38" s="41">
        <f>COVAR(DT!Q4:Q1004,DT!S4:S1004)^2</f>
        <v>0.66015625</v>
      </c>
      <c r="M38" s="40" t="s">
        <v>23</v>
      </c>
      <c r="N38" s="41">
        <f>COVAR(DT!G4:G1004,DT!R4:R1004)^2</f>
        <v>0.19140625</v>
      </c>
      <c r="P38" s="40" t="s">
        <v>29</v>
      </c>
      <c r="Q38" s="41">
        <f>COVAR(DT!O4:O1004,DT!Z4:Z1004)^2</f>
        <v>0.390625</v>
      </c>
    </row>
    <row r="39" spans="1:17">
      <c r="A39" s="40" t="s">
        <v>42</v>
      </c>
      <c r="B39" s="41">
        <f>COVAR(DT!L4:L1004,DT!P4:P1004)^2</f>
        <v>0.140625</v>
      </c>
      <c r="D39" s="40" t="s">
        <v>1275</v>
      </c>
      <c r="E39" s="54">
        <f>SUM(E33:E38)</f>
        <v>0.3568239795918367</v>
      </c>
      <c r="G39" s="40" t="s">
        <v>1275</v>
      </c>
      <c r="H39" s="54">
        <f>SUM(H33:H38)</f>
        <v>5.898193359375</v>
      </c>
      <c r="J39" s="40" t="s">
        <v>1275</v>
      </c>
      <c r="K39" s="54">
        <f>SUM(K33:K38)</f>
        <v>2.422607421875</v>
      </c>
      <c r="M39" s="40" t="s">
        <v>1275</v>
      </c>
      <c r="N39" s="54">
        <f>SUM(N33:N38)</f>
        <v>0.670166015625</v>
      </c>
      <c r="P39" s="40" t="s">
        <v>1275</v>
      </c>
      <c r="Q39" s="54">
        <f>SUM(Q33:Q38)</f>
        <v>1.465087890625</v>
      </c>
    </row>
    <row r="40" spans="1:17">
      <c r="A40" s="40" t="s">
        <v>43</v>
      </c>
      <c r="B40" s="41">
        <f>COVAR(DT!L4:L1004,DT!X4:X1004)^2</f>
        <v>6.25E-2</v>
      </c>
      <c r="D40" s="42" t="s">
        <v>1276</v>
      </c>
      <c r="E40" s="52">
        <f>E30+SQRT((4/3)*2*E39)/(16*(Results!M4))</f>
        <v>0.46411221496696597</v>
      </c>
      <c r="G40" s="42" t="s">
        <v>1276</v>
      </c>
      <c r="H40" s="52">
        <f>H30+SQRT((4/3)*2*H39)/(16*(Results!M5))</f>
        <v>0.79688836726729173</v>
      </c>
      <c r="J40" s="42" t="s">
        <v>1276</v>
      </c>
      <c r="K40" s="52">
        <f>K30+SQRT((4/3)*2*K39)/(16*(Results!M6))</f>
        <v>0.78413023676685489</v>
      </c>
      <c r="M40" s="42" t="s">
        <v>1276</v>
      </c>
      <c r="N40" s="52">
        <f>N30+SQRT((4/3)*2*N39)/(16*(Results!M7))</f>
        <v>0.72875706466287504</v>
      </c>
      <c r="P40" s="42" t="s">
        <v>1276</v>
      </c>
      <c r="Q40" s="52">
        <f>Q30+SQRT((4/3)*2*Q39)/(16*(Results!M8))</f>
        <v>0.82758496706851203</v>
      </c>
    </row>
    <row r="41" spans="1:17">
      <c r="A41" s="40" t="s">
        <v>44</v>
      </c>
      <c r="B41" s="41">
        <f>COVAR(DT!L4:L1004,DT!Y4:Y1004)^2</f>
        <v>1.5625E-2</v>
      </c>
    </row>
    <row r="42" spans="1:17">
      <c r="A42" s="40" t="s">
        <v>45</v>
      </c>
      <c r="B42" s="41">
        <f>COVAR(DT!N4:N1004,DT!P4:P1004)^2</f>
        <v>0.1181640625</v>
      </c>
    </row>
    <row r="43" spans="1:17">
      <c r="A43" s="40" t="s">
        <v>46</v>
      </c>
      <c r="B43" s="41">
        <f>COVAR(DT!N4:N1004,DT!X4:X1004)^2</f>
        <v>0.19140625</v>
      </c>
    </row>
    <row r="44" spans="1:17">
      <c r="A44" s="40" t="s">
        <v>47</v>
      </c>
      <c r="B44" s="41">
        <f>COVAR(DT!N4:N1004,DT!Y4:Y1004)^2</f>
        <v>1</v>
      </c>
    </row>
    <row r="45" spans="1:17">
      <c r="A45" s="40" t="s">
        <v>48</v>
      </c>
      <c r="B45" s="41">
        <f>COVAR(DT!P4:P1004,DT!X4:X1004)^2</f>
        <v>0.1181640625</v>
      </c>
    </row>
    <row r="46" spans="1:17">
      <c r="A46" s="40" t="s">
        <v>116</v>
      </c>
      <c r="B46" s="41">
        <f>COVAR(DT!P4:P1004,DT!Y4:Y1004)^2</f>
        <v>0.31640625</v>
      </c>
    </row>
    <row r="47" spans="1:17">
      <c r="A47" s="40" t="s">
        <v>35</v>
      </c>
      <c r="B47" s="41">
        <f>COVAR(DT!X4:X1004,DT!Y4:Y1004)^2</f>
        <v>1.890625</v>
      </c>
    </row>
    <row r="48" spans="1:17">
      <c r="A48" s="40" t="s">
        <v>1275</v>
      </c>
      <c r="B48" s="54">
        <f>SUM(B33:B47)</f>
        <v>11.189697265625</v>
      </c>
    </row>
    <row r="49" spans="1:2">
      <c r="A49" s="42" t="s">
        <v>1276</v>
      </c>
      <c r="B49" s="52">
        <f>B30+SQRT((6/5)*2*B48)/(36*(Results!M3))</f>
        <v>0.8622829660804967</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40625" defaultRowHeight="1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84" t="s">
        <v>2176</v>
      </c>
      <c r="B1" s="185"/>
      <c r="C1" s="185"/>
      <c r="D1" s="185"/>
      <c r="E1" s="185"/>
      <c r="F1" s="185"/>
      <c r="G1" s="185"/>
      <c r="H1" s="185"/>
    </row>
    <row r="2" spans="1:8">
      <c r="A2" s="124" t="s">
        <v>110</v>
      </c>
      <c r="B2" s="125" t="s">
        <v>106</v>
      </c>
      <c r="C2" s="125" t="s">
        <v>120</v>
      </c>
      <c r="D2" s="125" t="s">
        <v>121</v>
      </c>
    </row>
    <row r="3" spans="1:8">
      <c r="A3" s="17" t="str">
        <f>VLOOKUP(Read_First!B5,Items!A1:BI50,54,FALSE)</f>
        <v>Attractiveness</v>
      </c>
      <c r="B3" s="63">
        <f>Results!L3</f>
        <v>1.9583333333333333</v>
      </c>
      <c r="C3" s="16" t="str">
        <f>IF(B3&gt;E37,"Excellent",IF(B3&gt;D37,"Good",IF(B3&gt;C37,"Above average",IF(B3&gt;B37,"Below average","Bad"))))</f>
        <v>Excellent</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7" t="str">
        <f>VLOOKUP(Read_First!B5,Items!A1:BI50,55,FALSE)</f>
        <v>Perspicuity</v>
      </c>
      <c r="B4" s="63">
        <f>Results!L4</f>
        <v>1.59375</v>
      </c>
      <c r="C4" s="16" t="str">
        <f>IF(B4&gt;E38,"Excellent",IF(B4&gt;D38,"Good",IF(B4&gt;C38,"Above Average",IF(B4&gt;B38,"Below Average","Bad"))))</f>
        <v>Above Average</v>
      </c>
      <c r="D4" s="15" t="str">
        <f t="shared" si="0"/>
        <v>25% of results better, 50% of results worse</v>
      </c>
    </row>
    <row r="5" spans="1:8">
      <c r="A5" s="17" t="str">
        <f>VLOOKUP(Read_First!B5,Items!A1:BI50,56,FALSE)</f>
        <v>Efficiency</v>
      </c>
      <c r="B5" s="63">
        <f>Results!L5</f>
        <v>1.46875</v>
      </c>
      <c r="C5" s="16" t="str">
        <f>IF(B5&gt;E39,"Excellent",IF(B5&gt;D39,"Good",IF(B5&gt;C39,"Above Average",IF(B5&gt;B39,"Below Average","Bad"))))</f>
        <v>Above Average</v>
      </c>
      <c r="D5" s="15" t="str">
        <f t="shared" si="0"/>
        <v>25% of results better, 50% of results worse</v>
      </c>
    </row>
    <row r="6" spans="1:8">
      <c r="A6" s="18" t="str">
        <f>VLOOKUP(Read_First!B5,Items!A1:BI50,57,FALSE)</f>
        <v>Dependability</v>
      </c>
      <c r="B6" s="63">
        <f>Results!L6</f>
        <v>1.34375</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3">
        <f>Results!L7</f>
        <v>2.375</v>
      </c>
      <c r="C7" s="16" t="str">
        <f>IF(B7&gt;E41,"Excellent",IF(B7&gt;D41,"Good",IF(B7&gt;C41,"Above Average",IF(B7&gt;B41,"Below Average","Bad"))))</f>
        <v>Excellent</v>
      </c>
      <c r="D7" s="15" t="str">
        <f t="shared" si="0"/>
        <v>In the range of the 10% best results</v>
      </c>
    </row>
    <row r="8" spans="1:8">
      <c r="A8" s="17" t="str">
        <f>VLOOKUP(Read_First!B5,Items!A1:BI50,59,FALSE)</f>
        <v>Novelty</v>
      </c>
      <c r="B8" s="63">
        <f>Results!L8</f>
        <v>2.125</v>
      </c>
      <c r="C8" s="16" t="str">
        <f>IF(B8&gt;E42,"Excellent",IF(B8&gt;D42,"Good",IF(B8&gt;C42,"Above Average",IF(B8&gt;B42,"Below Average","Bad"))))</f>
        <v>Excellent</v>
      </c>
      <c r="D8" s="15" t="str">
        <f t="shared" si="0"/>
        <v>In the range of the 10% best results</v>
      </c>
    </row>
    <row r="26" spans="1:8">
      <c r="A26" s="186" t="s">
        <v>822</v>
      </c>
      <c r="B26" s="186"/>
      <c r="C26" s="186"/>
      <c r="D26" s="186"/>
      <c r="E26" s="186"/>
      <c r="F26" s="186"/>
      <c r="G26" s="186"/>
      <c r="H26" s="186"/>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4">
        <f>Results!L3</f>
        <v>1.9583333333333333</v>
      </c>
    </row>
    <row r="29" spans="1:8">
      <c r="A29" s="17" t="str">
        <f>VLOOKUP(Read_First!B5,Items!A1:BI50,55,FALSE)</f>
        <v>Perspicuity</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1.59375</v>
      </c>
    </row>
    <row r="30" spans="1:8">
      <c r="A30" s="17" t="str">
        <f>VLOOKUP(Read_First!B5,Items!A1:BI50,56,FALSE)</f>
        <v>Efficiency</v>
      </c>
      <c r="B30" s="35">
        <v>-1</v>
      </c>
      <c r="C30" s="151">
        <f t="shared" si="1"/>
        <v>0.6</v>
      </c>
      <c r="D30" s="151">
        <f t="shared" si="2"/>
        <v>0.45000000000000007</v>
      </c>
      <c r="E30" s="151">
        <f t="shared" si="3"/>
        <v>0.44999999999999996</v>
      </c>
      <c r="F30" s="151">
        <f t="shared" si="4"/>
        <v>0.37999999999999989</v>
      </c>
      <c r="G30" s="151">
        <f t="shared" si="5"/>
        <v>0.62000000000000011</v>
      </c>
      <c r="H30" s="64">
        <f>Results!L5</f>
        <v>1.46875</v>
      </c>
    </row>
    <row r="31" spans="1:8">
      <c r="A31" s="18" t="str">
        <f>VLOOKUP(Read_First!B5,Items!A1:BI50,57,FALSE)</f>
        <v>Dependability</v>
      </c>
      <c r="B31" s="35">
        <v>-1</v>
      </c>
      <c r="C31" s="151">
        <f t="shared" si="1"/>
        <v>0.78</v>
      </c>
      <c r="D31" s="151">
        <f t="shared" si="2"/>
        <v>0.35999999999999988</v>
      </c>
      <c r="E31" s="151">
        <f t="shared" si="3"/>
        <v>0.34000000000000008</v>
      </c>
      <c r="F31" s="151">
        <f t="shared" si="4"/>
        <v>0.21999999999999997</v>
      </c>
      <c r="G31" s="151">
        <f t="shared" si="5"/>
        <v>0.8</v>
      </c>
      <c r="H31" s="64">
        <f>Results!L6</f>
        <v>1.34375</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2.375</v>
      </c>
    </row>
    <row r="33" spans="1:8">
      <c r="A33" s="17" t="str">
        <f>VLOOKUP(Read_First!B5,Items!A1:BI50,59,FALSE)</f>
        <v>Novelty</v>
      </c>
      <c r="B33" s="35">
        <v>-1</v>
      </c>
      <c r="C33" s="151">
        <f t="shared" si="1"/>
        <v>0.16</v>
      </c>
      <c r="D33" s="151">
        <f t="shared" si="2"/>
        <v>0.53999999999999992</v>
      </c>
      <c r="E33" s="151">
        <f t="shared" si="3"/>
        <v>0.42000000000000015</v>
      </c>
      <c r="F33" s="151">
        <f t="shared" si="4"/>
        <v>0.48</v>
      </c>
      <c r="G33" s="151">
        <f t="shared" si="5"/>
        <v>0.89999999999999991</v>
      </c>
      <c r="H33" s="64">
        <f>Results!L8</f>
        <v>2.125</v>
      </c>
    </row>
    <row r="35" spans="1:8">
      <c r="A35" s="186" t="s">
        <v>2177</v>
      </c>
      <c r="B35" s="186"/>
      <c r="C35" s="186"/>
      <c r="D35" s="186"/>
      <c r="E35" s="186"/>
    </row>
    <row r="36" spans="1:8">
      <c r="A36" s="152" t="s">
        <v>110</v>
      </c>
      <c r="B36" s="153">
        <v>0.25</v>
      </c>
      <c r="C36" s="153">
        <v>0.5</v>
      </c>
      <c r="D36" s="153">
        <v>0.75</v>
      </c>
      <c r="E36" s="153">
        <v>0.9</v>
      </c>
    </row>
    <row r="37" spans="1:8">
      <c r="A37" s="152" t="str">
        <f>VLOOKUP(Read_First!B5,Items!A1:BI50,54,FALSE)</f>
        <v>Attractiveness</v>
      </c>
      <c r="B37">
        <v>0.69</v>
      </c>
      <c r="C37">
        <v>1.18</v>
      </c>
      <c r="D37">
        <v>1.58</v>
      </c>
      <c r="E37">
        <v>1.84</v>
      </c>
    </row>
    <row r="38" spans="1:8">
      <c r="A38" s="152" t="str">
        <f>VLOOKUP(Read_First!B5,Items!A1:BI50,55,FALSE)</f>
        <v>Perspicuity</v>
      </c>
      <c r="B38">
        <v>0.72</v>
      </c>
      <c r="C38">
        <v>1.2</v>
      </c>
      <c r="D38">
        <v>1.73</v>
      </c>
      <c r="E38">
        <v>2</v>
      </c>
    </row>
    <row r="39" spans="1:8">
      <c r="A39" s="152" t="str">
        <f>VLOOKUP(Read_First!B5,Items!A1:BI50,56,FALSE)</f>
        <v>Efficiency</v>
      </c>
      <c r="B39">
        <v>0.6</v>
      </c>
      <c r="C39">
        <v>1.05</v>
      </c>
      <c r="D39">
        <v>1.5</v>
      </c>
      <c r="E39">
        <v>1.88</v>
      </c>
    </row>
    <row r="40" spans="1:8">
      <c r="A40" s="152" t="str">
        <f>VLOOKUP(Read_First!B5,Items!A1:BI50,57,FALSE)</f>
        <v>Dependability</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5"/>
  <cols>
    <col min="1" max="26" width="3.5703125" style="1" customWidth="1"/>
    <col min="29" max="35" width="13.85546875" style="1" customWidth="1"/>
  </cols>
  <sheetData>
    <row r="1" spans="1:35" ht="192.75" customHeight="1">
      <c r="A1" s="163" t="s">
        <v>1284</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C1" s="37"/>
      <c r="AD1" s="38"/>
      <c r="AE1" s="38"/>
      <c r="AF1" s="38"/>
      <c r="AG1" s="38"/>
      <c r="AH1" s="39"/>
      <c r="AI1" s="1" t="s">
        <v>825</v>
      </c>
    </row>
    <row r="2" spans="1:35">
      <c r="A2" s="166" t="s">
        <v>0</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C2" s="162" t="s">
        <v>823</v>
      </c>
      <c r="AD2" s="162"/>
      <c r="AE2" s="162"/>
      <c r="AF2" s="162"/>
      <c r="AG2" s="162"/>
      <c r="AH2" s="162"/>
      <c r="AI2" s="162"/>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824</v>
      </c>
    </row>
    <row r="4" spans="1:35">
      <c r="A4" s="68">
        <f>IF(Data!A4&gt;0,Data!A4-4,"")</f>
        <v>2</v>
      </c>
      <c r="B4" s="68">
        <f>IF(Data!B4&gt;0,Data!B4-4,"")</f>
        <v>3</v>
      </c>
      <c r="C4" s="68">
        <f>IF(Data!C4&gt;0,4-Data!C4,"")</f>
        <v>2</v>
      </c>
      <c r="D4" s="68">
        <f>IF(Data!D4&gt;0,4-Data!D4,"")</f>
        <v>3</v>
      </c>
      <c r="E4" s="68">
        <f>IF(Data!E4&gt;0,4-Data!E4,"")</f>
        <v>3</v>
      </c>
      <c r="F4" s="68">
        <f>IF(Data!F4&gt;0,Data!F4-4,"")</f>
        <v>3</v>
      </c>
      <c r="G4" s="68">
        <f>IF(Data!G4&gt;0,Data!G4-4,"")</f>
        <v>3</v>
      </c>
      <c r="H4" s="68">
        <f>IF(Data!H4&gt;0,Data!H4-4,"")</f>
        <v>-1</v>
      </c>
      <c r="I4" s="68">
        <f>IF(Data!I4&gt;0,4-Data!I4,"")</f>
        <v>3</v>
      </c>
      <c r="J4" s="68">
        <f>IF(Data!J4&gt;0,4-Data!J4,"")</f>
        <v>1</v>
      </c>
      <c r="K4" s="68">
        <f>IF(Data!K4&gt;0,Data!K4-4,"")</f>
        <v>2</v>
      </c>
      <c r="L4" s="68">
        <f>IF(Data!L4&gt;0,4-Data!L4,"")</f>
        <v>3</v>
      </c>
      <c r="M4" s="68">
        <f>IF(Data!M4&gt;0,Data!M4-4,"")</f>
        <v>1</v>
      </c>
      <c r="N4" s="68">
        <f>IF(Data!N4&gt;0,Data!N4-4,"")</f>
        <v>3</v>
      </c>
      <c r="O4" s="68">
        <f>IF(Data!O4&gt;0,Data!O4-4,"")</f>
        <v>3</v>
      </c>
      <c r="P4" s="68">
        <f>IF(Data!P4&gt;0,Data!P4-4,"")</f>
        <v>3</v>
      </c>
      <c r="Q4" s="68">
        <f>IF(Data!Q4&gt;0,4-Data!Q4,"")</f>
        <v>3</v>
      </c>
      <c r="R4" s="1">
        <f>IF(Data!R4&gt;0,4-Data!R4,"")</f>
        <v>2</v>
      </c>
      <c r="S4" s="68">
        <f>IF(Data!S4&gt;0,4-Data!S4,"")</f>
        <v>3</v>
      </c>
      <c r="T4" s="68">
        <f>IF(Data!T4&gt;0,Data!T4-4,"")</f>
        <v>3</v>
      </c>
      <c r="U4" s="68">
        <f>IF(Data!U4&gt;0,4-Data!U4,"")</f>
        <v>2</v>
      </c>
      <c r="V4" s="68">
        <f>IF(Data!V4&gt;0,Data!V4-4,"")</f>
        <v>3</v>
      </c>
      <c r="W4" s="68">
        <f>IF(Data!W4&gt;0,4-Data!W4,"")</f>
        <v>2</v>
      </c>
      <c r="X4" s="68">
        <f>IF(Data!X4&gt;0,4-Data!X4,"")</f>
        <v>3</v>
      </c>
      <c r="Y4" s="68">
        <f>IF(Data!Y4&gt;0,4-Data!Y4,"")</f>
        <v>3</v>
      </c>
      <c r="Z4" s="68">
        <f>IF(Data!Z4&gt;0,Data!Z4-4,"")</f>
        <v>2</v>
      </c>
      <c r="AC4" s="73" t="str">
        <f>IF((MAX(A4,L4,N4,P4,X4,Y4)-MIN(A4,L4,N4,P4,X4,Y4))&gt;3,1,"")</f>
        <v/>
      </c>
      <c r="AD4" s="73" t="str">
        <f t="shared" ref="AD4" si="0">IF((MAX(B4,D4,M4,U4)-MIN(B4,D4,M4,U4))&gt;3,1,"")</f>
        <v/>
      </c>
      <c r="AE4" s="73" t="str">
        <f t="shared" ref="AE4" si="1">IF((MAX(I4,T4,V4,W4)-MIN(I4,T4,V4,W4))&gt;3,1,"")</f>
        <v/>
      </c>
      <c r="AF4" s="73">
        <f t="shared" ref="AF4" si="2">IF((MAX(H4,K4,Q4,S4)-MIN(H4,K4,Q4,S4))&gt;3,1,"")</f>
        <v>1</v>
      </c>
      <c r="AG4" s="73" t="str">
        <f>IF((MAX(E4,F4,G4,R4)-MIN(E4,F4,G4,R4))&gt;3,1,"")</f>
        <v/>
      </c>
      <c r="AH4" s="73" t="str">
        <f t="shared" ref="AH4" si="3">IF((MAX(C4,J4,O4,Z4)-MIN(C4,J4,O4,Z4))&gt;3,1,"")</f>
        <v/>
      </c>
      <c r="AI4" s="71">
        <f>IF(COUNT(A4:Z4)&gt;0,IF(COUNT(AC4,AD4,AE4,AF4,AG4,AH4)&gt;0,SUM(AC4,AD4,AE4,AF4,AG4,AH4),0),"")</f>
        <v>1</v>
      </c>
    </row>
    <row r="5" spans="1:35">
      <c r="A5" s="1">
        <f>IF(Data!A5&gt;0,Data!A5-4,"")</f>
        <v>1</v>
      </c>
      <c r="B5" s="1">
        <f>IF(Data!B5&gt;0,Data!B5-4,"")</f>
        <v>2</v>
      </c>
      <c r="C5" s="1">
        <f>IF(Data!C5&gt;0,4-Data!C5,"")</f>
        <v>1</v>
      </c>
      <c r="D5" s="1">
        <f>IF(Data!D5&gt;0,4-Data!D5,"")</f>
        <v>2</v>
      </c>
      <c r="E5" s="1">
        <f>IF(Data!E5&gt;0,4-Data!E5,"")</f>
        <v>1</v>
      </c>
      <c r="F5" s="1">
        <f>IF(Data!F5&gt;0,Data!F5-4,"")</f>
        <v>2</v>
      </c>
      <c r="G5" s="1">
        <f>IF(Data!G5&gt;0,Data!G5-4,"")</f>
        <v>2</v>
      </c>
      <c r="H5" s="1">
        <f>IF(Data!H5&gt;0,Data!H5-4,"")</f>
        <v>-1</v>
      </c>
      <c r="I5" s="1">
        <f>IF(Data!I5&gt;0,4-Data!I5,"")</f>
        <v>-2</v>
      </c>
      <c r="J5" s="1">
        <f>IF(Data!J5&gt;0,4-Data!J5,"")</f>
        <v>2</v>
      </c>
      <c r="K5" s="1">
        <f>IF(Data!K5&gt;0,Data!K5-4,"")</f>
        <v>1</v>
      </c>
      <c r="L5" s="1">
        <f>IF(Data!L5&gt;0,4-Data!L5,"")</f>
        <v>2</v>
      </c>
      <c r="M5" s="1">
        <f>IF(Data!M5&gt;0,Data!M5-4,"")</f>
        <v>-2</v>
      </c>
      <c r="N5" s="1">
        <f>IF(Data!N5&gt;0,Data!N5-4,"")</f>
        <v>2</v>
      </c>
      <c r="O5" s="1">
        <f>IF(Data!O5&gt;0,Data!O5-4,"")</f>
        <v>1</v>
      </c>
      <c r="P5" s="1">
        <f>IF(Data!P5&gt;0,Data!P5-4,"")</f>
        <v>2</v>
      </c>
      <c r="Q5" s="1">
        <f>IF(Data!Q5&gt;0,4-Data!Q5,"")</f>
        <v>2</v>
      </c>
      <c r="R5" s="1">
        <f>IF(Data!R5&gt;0,4-Data!R5,"")</f>
        <v>3</v>
      </c>
      <c r="S5" s="1">
        <f>IF(Data!S5&gt;0,4-Data!S5,"")</f>
        <v>0</v>
      </c>
      <c r="T5" s="1">
        <f>IF(Data!T5&gt;0,Data!T5-4,"")</f>
        <v>-1</v>
      </c>
      <c r="U5" s="1">
        <f>IF(Data!U5&gt;0,4-Data!U5,"")</f>
        <v>2</v>
      </c>
      <c r="V5" s="1">
        <f>IF(Data!V5&gt;0,Data!V5-4,"")</f>
        <v>1</v>
      </c>
      <c r="W5" s="1">
        <f>IF(Data!W5&gt;0,4-Data!W5,"")</f>
        <v>3</v>
      </c>
      <c r="X5" s="1">
        <f>IF(Data!X5&gt;0,4-Data!X5,"")</f>
        <v>1</v>
      </c>
      <c r="Y5" s="1">
        <f>IF(Data!Y5&gt;0,4-Data!Y5,"")</f>
        <v>0</v>
      </c>
      <c r="Z5" s="1">
        <f>IF(Data!Z5&gt;0,Data!Z5-4,"")</f>
        <v>2</v>
      </c>
      <c r="AC5" s="4" t="str">
        <f t="shared" ref="AC5:AC13" si="4">IF((MAX(A5,L5,N5,P5,X5,Y5)-MIN(A5,L5,N5,P5,X5,Y5))&gt;3,1,"")</f>
        <v/>
      </c>
      <c r="AD5" s="4">
        <f t="shared" ref="AD5:AD13" si="5">IF((MAX(B5,D5,M5,U5)-MIN(B5,D5,M5,U5))&gt;3,1,"")</f>
        <v>1</v>
      </c>
      <c r="AE5" s="4">
        <f t="shared" ref="AE5:AE13" si="6">IF((MAX(I5,T5,V5,W5)-MIN(I5,T5,V5,W5))&gt;3,1,"")</f>
        <v>1</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2</v>
      </c>
    </row>
    <row r="6" spans="1:35">
      <c r="A6" s="1">
        <f>IF(Data!A6&gt;0,Data!A6-4,"")</f>
        <v>3</v>
      </c>
      <c r="B6" s="1">
        <f>IF(Data!B6&gt;0,Data!B6-4,"")</f>
        <v>3</v>
      </c>
      <c r="C6" s="1">
        <f>IF(Data!C6&gt;0,4-Data!C6,"")</f>
        <v>3</v>
      </c>
      <c r="D6" s="1">
        <f>IF(Data!D6&gt;0,4-Data!D6,"")</f>
        <v>2</v>
      </c>
      <c r="E6" s="1">
        <f>IF(Data!E6&gt;0,4-Data!E6,"")</f>
        <v>3</v>
      </c>
      <c r="F6" s="1">
        <f>IF(Data!F6&gt;0,Data!F6-4,"")</f>
        <v>3</v>
      </c>
      <c r="G6" s="1">
        <f>IF(Data!G6&gt;0,Data!G6-4,"")</f>
        <v>3</v>
      </c>
      <c r="H6" s="1">
        <f>IF(Data!H6&gt;0,Data!H6-4,"")</f>
        <v>1</v>
      </c>
      <c r="I6" s="1">
        <f>IF(Data!I6&gt;0,4-Data!I6,"")</f>
        <v>3</v>
      </c>
      <c r="J6" s="1">
        <f>IF(Data!J6&gt;0,4-Data!J6,"")</f>
        <v>3</v>
      </c>
      <c r="K6" s="1">
        <f>IF(Data!K6&gt;0,Data!K6-4,"")</f>
        <v>3</v>
      </c>
      <c r="L6" s="1">
        <f>IF(Data!L6&gt;0,4-Data!L6,"")</f>
        <v>3</v>
      </c>
      <c r="M6" s="1">
        <f>IF(Data!M6&gt;0,Data!M6-4,"")</f>
        <v>1</v>
      </c>
      <c r="N6" s="1">
        <f>IF(Data!N6&gt;0,Data!N6-4,"")</f>
        <v>3</v>
      </c>
      <c r="O6" s="1">
        <f>IF(Data!O6&gt;0,Data!O6-4,"")</f>
        <v>2</v>
      </c>
      <c r="P6" s="1">
        <f>IF(Data!P6&gt;0,Data!P6-4,"")</f>
        <v>3</v>
      </c>
      <c r="Q6" s="1">
        <f>IF(Data!Q6&gt;0,4-Data!Q6,"")</f>
        <v>3</v>
      </c>
      <c r="R6" s="1">
        <f>IF(Data!R6&gt;0,4-Data!R6,"")</f>
        <v>3</v>
      </c>
      <c r="S6" s="1">
        <f>IF(Data!S6&gt;0,4-Data!S6,"")</f>
        <v>3</v>
      </c>
      <c r="T6" s="1">
        <f>IF(Data!T6&gt;0,Data!T6-4,"")</f>
        <v>2</v>
      </c>
      <c r="U6" s="1">
        <f>IF(Data!U6&gt;0,4-Data!U6,"")</f>
        <v>2</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1</v>
      </c>
      <c r="E7" s="1">
        <f>IF(Data!E7&gt;0,4-Data!E7,"")</f>
        <v>2</v>
      </c>
      <c r="F7" s="1">
        <f>IF(Data!F7&gt;0,Data!F7-4,"")</f>
        <v>2</v>
      </c>
      <c r="G7" s="1">
        <f>IF(Data!G7&gt;0,Data!G7-4,"")</f>
        <v>2</v>
      </c>
      <c r="H7" s="1">
        <f>IF(Data!H7&gt;0,Data!H7-4,"")</f>
        <v>2</v>
      </c>
      <c r="I7" s="1">
        <f>IF(Data!I7&gt;0,4-Data!I7,"")</f>
        <v>-1</v>
      </c>
      <c r="J7" s="1">
        <f>IF(Data!J7&gt;0,4-Data!J7,"")</f>
        <v>1</v>
      </c>
      <c r="K7" s="1">
        <f>IF(Data!K7&gt;0,Data!K7-4,"")</f>
        <v>1</v>
      </c>
      <c r="L7" s="1">
        <f>IF(Data!L7&gt;0,4-Data!L7,"")</f>
        <v>0</v>
      </c>
      <c r="M7" s="1">
        <f>IF(Data!M7&gt;0,Data!M7-4,"")</f>
        <v>-1</v>
      </c>
      <c r="N7" s="1">
        <f>IF(Data!N7&gt;0,Data!N7-4,"")</f>
        <v>2</v>
      </c>
      <c r="O7" s="1">
        <f>IF(Data!O7&gt;0,Data!O7-4,"")</f>
        <v>0</v>
      </c>
      <c r="P7" s="1">
        <f>IF(Data!P7&gt;0,Data!P7-4,"")</f>
        <v>1</v>
      </c>
      <c r="Q7" s="1">
        <f>IF(Data!Q7&gt;0,4-Data!Q7,"")</f>
        <v>2</v>
      </c>
      <c r="R7" s="1">
        <f>IF(Data!R7&gt;0,4-Data!R7,"")</f>
        <v>2</v>
      </c>
      <c r="S7" s="1">
        <f>IF(Data!S7&gt;0,4-Data!S7,"")</f>
        <v>0</v>
      </c>
      <c r="T7" s="1">
        <f>IF(Data!T7&gt;0,Data!T7-4,"")</f>
        <v>0</v>
      </c>
      <c r="U7" s="1">
        <f>IF(Data!U7&gt;0,4-Data!U7,"")</f>
        <v>2</v>
      </c>
      <c r="V7" s="1">
        <f>IF(Data!V7&gt;0,Data!V7-4,"")</f>
        <v>2</v>
      </c>
      <c r="W7" s="1">
        <f>IF(Data!W7&gt;0,4-Data!W7,"")</f>
        <v>2</v>
      </c>
      <c r="X7" s="1">
        <f>IF(Data!X7&gt;0,4-Data!X7,"")</f>
        <v>1</v>
      </c>
      <c r="Y7" s="1">
        <f>IF(Data!Y7&gt;0,4-Data!Y7,"")</f>
        <v>1</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3</v>
      </c>
      <c r="C8" s="1">
        <f>IF(Data!C8&gt;0,4-Data!C8,"")</f>
        <v>3</v>
      </c>
      <c r="D8" s="1">
        <f>IF(Data!D8&gt;0,4-Data!D8,"")</f>
        <v>0</v>
      </c>
      <c r="E8" s="1">
        <f>IF(Data!E8&gt;0,4-Data!E8,"")</f>
        <v>2</v>
      </c>
      <c r="F8" s="1">
        <f>IF(Data!F8&gt;0,Data!F8-4,"")</f>
        <v>3</v>
      </c>
      <c r="G8" s="1">
        <f>IF(Data!G8&gt;0,Data!G8-4,"")</f>
        <v>3</v>
      </c>
      <c r="H8" s="1">
        <f>IF(Data!H8&gt;0,Data!H8-4,"")</f>
        <v>1</v>
      </c>
      <c r="I8" s="1">
        <f>IF(Data!I8&gt;0,4-Data!I8,"")</f>
        <v>0</v>
      </c>
      <c r="J8" s="1">
        <f>IF(Data!J8&gt;0,4-Data!J8,"")</f>
        <v>3</v>
      </c>
      <c r="K8" s="1">
        <f>IF(Data!K8&gt;0,Data!K8-4,"")</f>
        <v>3</v>
      </c>
      <c r="L8" s="1">
        <f>IF(Data!L8&gt;0,4-Data!L8,"")</f>
        <v>2</v>
      </c>
      <c r="M8" s="1">
        <f>IF(Data!M8&gt;0,Data!M8-4,"")</f>
        <v>-1</v>
      </c>
      <c r="N8" s="1">
        <f>IF(Data!N8&gt;0,Data!N8-4,"")</f>
        <v>2</v>
      </c>
      <c r="O8" s="1">
        <f>IF(Data!O8&gt;0,Data!O8-4,"")</f>
        <v>3</v>
      </c>
      <c r="P8" s="1">
        <f>IF(Data!P8&gt;0,Data!P8-4,"")</f>
        <v>1</v>
      </c>
      <c r="Q8" s="1">
        <f>IF(Data!Q8&gt;0,4-Data!Q8,"")</f>
        <v>2</v>
      </c>
      <c r="R8" s="1">
        <f>IF(Data!R8&gt;0,4-Data!R8,"")</f>
        <v>3</v>
      </c>
      <c r="S8" s="1">
        <f>IF(Data!S8&gt;0,4-Data!S8,"")</f>
        <v>2</v>
      </c>
      <c r="T8" s="1">
        <f>IF(Data!T8&gt;0,Data!T8-4,"")</f>
        <v>1</v>
      </c>
      <c r="U8" s="1">
        <f>IF(Data!U8&gt;0,4-Data!U8,"")</f>
        <v>3</v>
      </c>
      <c r="V8" s="1">
        <f>IF(Data!V8&gt;0,Data!V8-4,"")</f>
        <v>3</v>
      </c>
      <c r="W8" s="1">
        <f>IF(Data!W8&gt;0,4-Data!W8,"")</f>
        <v>2</v>
      </c>
      <c r="X8" s="1">
        <f>IF(Data!X8&gt;0,4-Data!X8,"")</f>
        <v>3</v>
      </c>
      <c r="Y8" s="1">
        <f>IF(Data!Y8&gt;0,4-Data!Y8,"")</f>
        <v>2</v>
      </c>
      <c r="Z8" s="1">
        <f>IF(Data!Z8&gt;0,Data!Z8-4,"")</f>
        <v>3</v>
      </c>
      <c r="AC8" s="4" t="str">
        <f t="shared" si="4"/>
        <v/>
      </c>
      <c r="AD8" s="4">
        <f t="shared" si="5"/>
        <v>1</v>
      </c>
      <c r="AE8" s="4" t="str">
        <f t="shared" si="6"/>
        <v/>
      </c>
      <c r="AF8" s="4" t="str">
        <f t="shared" si="7"/>
        <v/>
      </c>
      <c r="AG8" s="4" t="str">
        <f t="shared" si="8"/>
        <v/>
      </c>
      <c r="AH8" s="4" t="str">
        <f t="shared" si="9"/>
        <v/>
      </c>
      <c r="AI8" s="2">
        <f t="shared" si="10"/>
        <v>1</v>
      </c>
    </row>
    <row r="9" spans="1:35">
      <c r="A9" s="1">
        <f>IF(Data!A9&gt;0,Data!A9-4,"")</f>
        <v>2</v>
      </c>
      <c r="B9" s="1">
        <f>IF(Data!B9&gt;0,Data!B9-4,"")</f>
        <v>2</v>
      </c>
      <c r="C9" s="1">
        <f>IF(Data!C9&gt;0,4-Data!C9,"")</f>
        <v>3</v>
      </c>
      <c r="D9" s="1">
        <f>IF(Data!D9&gt;0,4-Data!D9,"")</f>
        <v>2</v>
      </c>
      <c r="E9" s="1">
        <f>IF(Data!E9&gt;0,4-Data!E9,"")</f>
        <v>2</v>
      </c>
      <c r="F9" s="1">
        <f>IF(Data!F9&gt;0,Data!F9-4,"")</f>
        <v>3</v>
      </c>
      <c r="G9" s="1">
        <f>IF(Data!G9&gt;0,Data!G9-4,"")</f>
        <v>3</v>
      </c>
      <c r="H9" s="1">
        <f>IF(Data!H9&gt;0,Data!H9-4,"")</f>
        <v>-1</v>
      </c>
      <c r="I9" s="1">
        <f>IF(Data!I9&gt;0,4-Data!I9,"")</f>
        <v>-1</v>
      </c>
      <c r="J9" s="1">
        <f>IF(Data!J9&gt;0,4-Data!J9,"")</f>
        <v>3</v>
      </c>
      <c r="K9" s="1">
        <f>IF(Data!K9&gt;0,Data!K9-4,"")</f>
        <v>1</v>
      </c>
      <c r="L9" s="1">
        <f>IF(Data!L9&gt;0,4-Data!L9,"")</f>
        <v>2</v>
      </c>
      <c r="M9" s="1">
        <f>IF(Data!M9&gt;0,Data!M9-4,"")</f>
        <v>1</v>
      </c>
      <c r="N9" s="1">
        <f>IF(Data!N9&gt;0,Data!N9-4,"")</f>
        <v>2</v>
      </c>
      <c r="O9" s="1">
        <f>IF(Data!O9&gt;0,Data!O9-4,"")</f>
        <v>3</v>
      </c>
      <c r="P9" s="1">
        <f>IF(Data!P9&gt;0,Data!P9-4,"")</f>
        <v>2</v>
      </c>
      <c r="Q9" s="1">
        <f>IF(Data!Q9&gt;0,4-Data!Q9,"")</f>
        <v>2</v>
      </c>
      <c r="R9" s="1">
        <f>IF(Data!R9&gt;0,4-Data!R9,"")</f>
        <v>1</v>
      </c>
      <c r="S9" s="1">
        <f>IF(Data!S9&gt;0,4-Data!S9,"")</f>
        <v>2</v>
      </c>
      <c r="T9" s="1">
        <f>IF(Data!T9&gt;0,Data!T9-4,"")</f>
        <v>1</v>
      </c>
      <c r="U9" s="1">
        <f>IF(Data!U9&gt;0,4-Data!U9,"")</f>
        <v>3</v>
      </c>
      <c r="V9" s="1">
        <f>IF(Data!V9&gt;0,Data!V9-4,"")</f>
        <v>2</v>
      </c>
      <c r="W9" s="1">
        <f>IF(Data!W9&gt;0,4-Data!W9,"")</f>
        <v>0</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3</v>
      </c>
      <c r="C10" s="1">
        <f>IF(Data!C10&gt;0,4-Data!C10,"")</f>
        <v>2</v>
      </c>
      <c r="D10" s="1">
        <f>IF(Data!D10&gt;0,4-Data!D10,"")</f>
        <v>2</v>
      </c>
      <c r="E10" s="1">
        <f>IF(Data!E10&gt;0,4-Data!E10,"")</f>
        <v>3</v>
      </c>
      <c r="F10" s="1">
        <f>IF(Data!F10&gt;0,Data!F10-4,"")</f>
        <v>1</v>
      </c>
      <c r="G10" s="1">
        <f>IF(Data!G10&gt;0,Data!G10-4,"")</f>
        <v>1</v>
      </c>
      <c r="H10" s="1">
        <f>IF(Data!H10&gt;0,Data!H10-4,"")</f>
        <v>-1</v>
      </c>
      <c r="I10" s="1">
        <f>IF(Data!I10&gt;0,4-Data!I10,"")</f>
        <v>-2</v>
      </c>
      <c r="J10" s="1">
        <f>IF(Data!J10&gt;0,4-Data!J10,"")</f>
        <v>0</v>
      </c>
      <c r="K10" s="1">
        <f>IF(Data!K10&gt;0,Data!K10-4,"")</f>
        <v>0</v>
      </c>
      <c r="L10" s="1">
        <f>IF(Data!L10&gt;0,4-Data!L10,"")</f>
        <v>3</v>
      </c>
      <c r="M10" s="1">
        <f>IF(Data!M10&gt;0,Data!M10-4,"")</f>
        <v>-3</v>
      </c>
      <c r="N10" s="1">
        <f>IF(Data!N10&gt;0,Data!N10-4,"")</f>
        <v>1</v>
      </c>
      <c r="O10" s="1">
        <f>IF(Data!O10&gt;0,Data!O10-4,"")</f>
        <v>1</v>
      </c>
      <c r="P10" s="1">
        <f>IF(Data!P10&gt;0,Data!P10-4,"")</f>
        <v>2</v>
      </c>
      <c r="Q10" s="1">
        <f>IF(Data!Q10&gt;0,4-Data!Q10,"")</f>
        <v>0</v>
      </c>
      <c r="R10" s="1">
        <f>IF(Data!R10&gt;0,4-Data!R10,"")</f>
        <v>0</v>
      </c>
      <c r="S10" s="1">
        <f>IF(Data!S10&gt;0,4-Data!S10,"")</f>
        <v>0</v>
      </c>
      <c r="T10" s="1">
        <f>IF(Data!T10&gt;0,Data!T10-4,"")</f>
        <v>1</v>
      </c>
      <c r="U10" s="1">
        <f>IF(Data!U10&gt;0,4-Data!U10,"")</f>
        <v>2</v>
      </c>
      <c r="V10" s="1">
        <f>IF(Data!V10&gt;0,Data!V10-4,"")</f>
        <v>2</v>
      </c>
      <c r="W10" s="1">
        <f>IF(Data!W10&gt;0,4-Data!W10,"")</f>
        <v>2</v>
      </c>
      <c r="X10" s="1">
        <f>IF(Data!X10&gt;0,4-Data!X10,"")</f>
        <v>1</v>
      </c>
      <c r="Y10" s="1">
        <f>IF(Data!Y10&gt;0,4-Data!Y10,"")</f>
        <v>-2</v>
      </c>
      <c r="Z10" s="1">
        <f>IF(Data!Z10&gt;0,Data!Z10-4,"")</f>
        <v>2</v>
      </c>
      <c r="AC10" s="4">
        <f t="shared" si="4"/>
        <v>1</v>
      </c>
      <c r="AD10" s="4">
        <f t="shared" si="5"/>
        <v>1</v>
      </c>
      <c r="AE10" s="4">
        <f t="shared" si="6"/>
        <v>1</v>
      </c>
      <c r="AF10" s="4" t="str">
        <f t="shared" si="7"/>
        <v/>
      </c>
      <c r="AG10" s="4" t="str">
        <f t="shared" si="8"/>
        <v/>
      </c>
      <c r="AH10" s="4" t="str">
        <f t="shared" si="9"/>
        <v/>
      </c>
      <c r="AI10" s="2">
        <f t="shared" si="10"/>
        <v>3</v>
      </c>
    </row>
    <row r="11" spans="1:35">
      <c r="A11" s="1">
        <f>IF(Data!A11&gt;0,Data!A11-4,"")</f>
        <v>3</v>
      </c>
      <c r="B11" s="1">
        <f>IF(Data!B11&gt;0,Data!B11-4,"")</f>
        <v>3</v>
      </c>
      <c r="C11" s="1">
        <f>IF(Data!C11&gt;0,4-Data!C11,"")</f>
        <v>2</v>
      </c>
      <c r="D11" s="1">
        <f>IF(Data!D11&gt;0,4-Data!D11,"")</f>
        <v>2</v>
      </c>
      <c r="E11" s="1">
        <f>IF(Data!E11&gt;0,4-Data!E11,"")</f>
        <v>3</v>
      </c>
      <c r="F11" s="1">
        <f>IF(Data!F11&gt;0,Data!F11-4,"")</f>
        <v>3</v>
      </c>
      <c r="G11" s="1">
        <f>IF(Data!G11&gt;0,Data!G11-4,"")</f>
        <v>3</v>
      </c>
      <c r="H11" s="1">
        <f>IF(Data!H11&gt;0,Data!H11-4,"")</f>
        <v>1</v>
      </c>
      <c r="I11" s="1">
        <f>IF(Data!I11&gt;0,4-Data!I11,"")</f>
        <v>1</v>
      </c>
      <c r="J11" s="1">
        <f>IF(Data!J11&gt;0,4-Data!J11,"")</f>
        <v>2</v>
      </c>
      <c r="K11" s="1">
        <f>IF(Data!K11&gt;0,Data!K11-4,"")</f>
        <v>2</v>
      </c>
      <c r="L11" s="1">
        <f>IF(Data!L11&gt;0,4-Data!L11,"")</f>
        <v>1</v>
      </c>
      <c r="M11" s="1">
        <f>IF(Data!M11&gt;0,Data!M11-4,"")</f>
        <v>1</v>
      </c>
      <c r="N11" s="1">
        <f>IF(Data!N11&gt;0,Data!N11-4,"")</f>
        <v>3</v>
      </c>
      <c r="O11" s="1">
        <f>IF(Data!O11&gt;0,Data!O11-4,"")</f>
        <v>3</v>
      </c>
      <c r="P11" s="1">
        <f>IF(Data!P11&gt;0,Data!P11-4,"")</f>
        <v>3</v>
      </c>
      <c r="Q11" s="1">
        <f>IF(Data!Q11&gt;0,4-Data!Q11,"")</f>
        <v>3</v>
      </c>
      <c r="R11" s="1">
        <f>IF(Data!R11&gt;0,4-Data!R11,"")</f>
        <v>3</v>
      </c>
      <c r="S11" s="1">
        <f>IF(Data!S11&gt;0,4-Data!S11,"")</f>
        <v>2</v>
      </c>
      <c r="T11" s="1">
        <f>IF(Data!T11&gt;0,Data!T11-4,"")</f>
        <v>3</v>
      </c>
      <c r="U11" s="1">
        <f>IF(Data!U11&gt;0,4-Data!U11,"")</f>
        <v>3</v>
      </c>
      <c r="V11" s="1">
        <f>IF(Data!V11&gt;0,Data!V11-4,"")</f>
        <v>3</v>
      </c>
      <c r="W11" s="1">
        <f>IF(Data!W11&gt;0,4-Data!W11,"")</f>
        <v>3</v>
      </c>
      <c r="X11" s="1">
        <f>IF(Data!X11&gt;0,4-Data!X11,"")</f>
        <v>3</v>
      </c>
      <c r="Y11" s="1">
        <f>IF(Data!Y11&gt;0,4-Data!Y11,"")</f>
        <v>3</v>
      </c>
      <c r="Z11" s="1">
        <f>IF(Data!Z11&gt;0,Data!Z11-4,"")</f>
        <v>3</v>
      </c>
      <c r="AC11" s="4" t="str">
        <f t="shared" si="4"/>
        <v/>
      </c>
      <c r="AD11" s="4" t="str">
        <f t="shared" si="5"/>
        <v/>
      </c>
      <c r="AE11" s="4" t="str">
        <f t="shared" si="6"/>
        <v/>
      </c>
      <c r="AF11" s="4" t="str">
        <f t="shared" si="7"/>
        <v/>
      </c>
      <c r="AG11" s="4" t="str">
        <f t="shared" si="8"/>
        <v/>
      </c>
      <c r="AH11" s="4" t="str">
        <f t="shared" si="9"/>
        <v/>
      </c>
      <c r="AI11" s="2">
        <f t="shared" si="10"/>
        <v>0</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7" width="18.42578125" customWidth="1"/>
  </cols>
  <sheetData>
    <row r="1" spans="1:7" ht="21">
      <c r="A1" s="187" t="s">
        <v>829</v>
      </c>
      <c r="B1" s="187"/>
      <c r="C1" s="187"/>
      <c r="D1" s="187"/>
      <c r="E1" s="187"/>
      <c r="F1" s="187"/>
      <c r="G1" s="187"/>
    </row>
    <row r="2" spans="1:7" ht="184.7" customHeight="1">
      <c r="A2" s="177" t="s">
        <v>830</v>
      </c>
      <c r="B2" s="177"/>
      <c r="C2" s="177"/>
      <c r="D2" s="177"/>
      <c r="E2" s="177"/>
      <c r="F2" s="177"/>
      <c r="G2" s="177"/>
    </row>
    <row r="3" spans="1:7">
      <c r="A3" s="98" t="s">
        <v>110</v>
      </c>
      <c r="B3" s="91" t="s">
        <v>827</v>
      </c>
    </row>
    <row r="4" spans="1:7">
      <c r="A4" s="30" t="str">
        <f>VLOOKUP(Read_First!B5,Items!A1:BI50,54,FALSE)</f>
        <v>Attractiveness</v>
      </c>
      <c r="B4" s="7">
        <f>SQRT(VAR(DT!AC4:AC1004))</f>
        <v>0.88975652100260938</v>
      </c>
    </row>
    <row r="5" spans="1:7">
      <c r="A5" s="30" t="str">
        <f>VLOOKUP(Read_First!B5,Items!A1:BI50,55,FALSE)</f>
        <v>Perspicuity</v>
      </c>
      <c r="B5" s="7">
        <f>SQRT(VAR(DT!AD4:AD1004))</f>
        <v>0.5815235531404922</v>
      </c>
    </row>
    <row r="6" spans="1:7">
      <c r="A6" s="30" t="str">
        <f>VLOOKUP(Read_First!B5,Items!A1:BI50,56,FALSE)</f>
        <v>Efficiency</v>
      </c>
      <c r="B6" s="7">
        <f>SQRT(VAR(DT!AE4:AE1004))</f>
        <v>1.0559144648800192</v>
      </c>
    </row>
    <row r="7" spans="1:7">
      <c r="A7" s="30" t="str">
        <f>VLOOKUP(Read_First!B5,Items!A1:BI50,57,FALSE)</f>
        <v>Dependability</v>
      </c>
      <c r="B7" s="7">
        <f>SQRT(VAR(DT!AF4:AF1004))</f>
        <v>0.90571104663683988</v>
      </c>
    </row>
    <row r="8" spans="1:7">
      <c r="A8" s="30" t="str">
        <f>VLOOKUP(Read_First!B5,Items!A1:BI50,58,FALSE)</f>
        <v>Stimulation</v>
      </c>
      <c r="B8" s="7">
        <f>SQRT(VAR(DT!AG4:AG1004))</f>
        <v>0.61237243569579447</v>
      </c>
    </row>
    <row r="9" spans="1:7">
      <c r="A9" s="30" t="str">
        <f>VLOOKUP(Read_First!B5,Items!A1:BI50,59,FALSE)</f>
        <v>Novelty</v>
      </c>
      <c r="B9" s="7">
        <f>SQRT(VAR(DT!AH4:AH1004))</f>
        <v>0.80178372573727319</v>
      </c>
    </row>
    <row r="11" spans="1:7">
      <c r="A11" s="103" t="s">
        <v>828</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831</v>
      </c>
      <c r="B12" s="4">
        <f>POWER((1.65*B4)/0.5,2)</f>
        <v>8.6212499999999999</v>
      </c>
      <c r="C12" s="4">
        <f>POWER((1.65*B5)/0.5,2)</f>
        <v>3.6826674107142852</v>
      </c>
      <c r="D12" s="4">
        <f>POWER((1.65*B6)/0.5,2)</f>
        <v>12.141863839285715</v>
      </c>
      <c r="E12" s="4">
        <f>POWER((1.65*B7)/0.5,2)</f>
        <v>8.9332031249999986</v>
      </c>
      <c r="F12" s="4">
        <f>POWER((1.65*B8)/0.5,2)</f>
        <v>4.0837499999999993</v>
      </c>
      <c r="G12" s="4">
        <f>POWER((1.65*B9)/0.5,2)</f>
        <v>7.0007142857142863</v>
      </c>
    </row>
    <row r="13" spans="1:7">
      <c r="A13" s="105" t="s">
        <v>832</v>
      </c>
      <c r="B13" s="4">
        <f>POWER((1.96*B4)/0.5,2)</f>
        <v>12.16506666666667</v>
      </c>
      <c r="C13" s="4">
        <f>POWER((1.96*B5)/0.5,2)</f>
        <v>5.1964499999999987</v>
      </c>
      <c r="D13" s="4">
        <f>POWER((1.96*B6)/0.5,2)</f>
        <v>17.132849999999998</v>
      </c>
      <c r="E13" s="4">
        <f>POWER((1.96*B7)/0.5,2)</f>
        <v>12.605249999999998</v>
      </c>
      <c r="F13" s="4">
        <f>POWER((1.96*B8)/0.5,2)</f>
        <v>5.7623999999999986</v>
      </c>
      <c r="G13" s="4">
        <f>POWER((1.96*B9)/0.5,2)</f>
        <v>9.8783999999999992</v>
      </c>
    </row>
    <row r="14" spans="1:7">
      <c r="A14" s="105" t="s">
        <v>833</v>
      </c>
      <c r="B14" s="4">
        <f>POWER((2.58*B4)/0.5,2)</f>
        <v>21.078600000000009</v>
      </c>
      <c r="C14" s="4">
        <f>POWER((2.58*B5)/0.5,2)</f>
        <v>9.0039696428571432</v>
      </c>
      <c r="D14" s="4">
        <f>POWER((2.58*B6)/0.5,2)</f>
        <v>29.686355357142862</v>
      </c>
      <c r="E14" s="4">
        <f>POWER((2.58*B7)/0.5,2)</f>
        <v>21.841312499999997</v>
      </c>
      <c r="F14" s="4">
        <f>POWER((2.58*B8)/0.5,2)</f>
        <v>9.9845999999999986</v>
      </c>
      <c r="G14" s="4">
        <f>POWER((2.58*B9)/0.5,2)</f>
        <v>17.116457142857147</v>
      </c>
    </row>
    <row r="15" spans="1:7">
      <c r="A15" s="105" t="s">
        <v>834</v>
      </c>
      <c r="B15" s="4">
        <f>POWER((1.65*B4)/0.25,2)</f>
        <v>34.484999999999999</v>
      </c>
      <c r="C15" s="4">
        <f>POWER((1.65*B5)/0.25,2)</f>
        <v>14.730669642857141</v>
      </c>
      <c r="D15" s="4">
        <f>POWER((1.65*B6)/0.25,2)</f>
        <v>48.567455357142862</v>
      </c>
      <c r="E15" s="4">
        <f>POWER((1.65*B7)/0.25,2)</f>
        <v>35.732812499999994</v>
      </c>
      <c r="F15" s="4">
        <f>POWER((1.65*B8)/0.25,2)</f>
        <v>16.334999999999997</v>
      </c>
      <c r="G15" s="4">
        <f>POWER((1.65*B9)/0.25,2)</f>
        <v>28.002857142857145</v>
      </c>
    </row>
    <row r="16" spans="1:7">
      <c r="A16" s="105" t="s">
        <v>835</v>
      </c>
      <c r="B16" s="4">
        <f>POWER((1.96*B4)/0.25,2)</f>
        <v>48.660266666666679</v>
      </c>
      <c r="C16" s="4">
        <f>POWER((1.96*B5)/0.25,2)</f>
        <v>20.785799999999995</v>
      </c>
      <c r="D16" s="4">
        <f>POWER((1.96*B6)/0.25,2)</f>
        <v>68.531399999999991</v>
      </c>
      <c r="E16" s="4">
        <f>POWER((1.96*B7)/0.25,2)</f>
        <v>50.420999999999992</v>
      </c>
      <c r="F16" s="4">
        <f>POWER((1.96*B8)/0.25,2)</f>
        <v>23.049599999999995</v>
      </c>
      <c r="G16" s="4">
        <f>POWER((1.96*B9)/0.25,2)</f>
        <v>39.513599999999997</v>
      </c>
    </row>
    <row r="17" spans="1:7">
      <c r="A17" s="105" t="s">
        <v>836</v>
      </c>
      <c r="B17" s="4">
        <f>POWER((2.58*B4)/0.25,2)</f>
        <v>84.314400000000035</v>
      </c>
      <c r="C17" s="4">
        <f>POWER((2.58*B5)/0.25,2)</f>
        <v>36.015878571428573</v>
      </c>
      <c r="D17" s="4">
        <f>POWER((2.58*B6)/0.25,2)</f>
        <v>118.74542142857145</v>
      </c>
      <c r="E17" s="4">
        <f>POWER((2.58*B7)/0.25,2)</f>
        <v>87.365249999999989</v>
      </c>
      <c r="F17" s="4">
        <f>POWER((2.58*B8)/0.25,2)</f>
        <v>39.938399999999994</v>
      </c>
      <c r="G17" s="4">
        <f>POWER((2.58*B9)/0.25,2)</f>
        <v>68.465828571428588</v>
      </c>
    </row>
    <row r="18" spans="1:7">
      <c r="A18" s="105" t="s">
        <v>837</v>
      </c>
      <c r="B18" s="4">
        <f>POWER((1.65*B4)/0.1,2)</f>
        <v>215.53124999999997</v>
      </c>
      <c r="C18" s="4">
        <f>POWER((1.65*B5)/0.1,2)</f>
        <v>92.06668526785711</v>
      </c>
      <c r="D18" s="4">
        <f>POWER((1.65*B6)/0.1,2)</f>
        <v>303.54659598214289</v>
      </c>
      <c r="E18" s="4">
        <f>POWER((1.65*B7)/0.1,2)</f>
        <v>223.33007812499997</v>
      </c>
      <c r="F18" s="4">
        <f>POWER((1.65*B8)/0.1,2)</f>
        <v>102.09374999999997</v>
      </c>
      <c r="G18" s="4">
        <f>POWER((1.65*B9)/0.1,2)</f>
        <v>175.01785714285717</v>
      </c>
    </row>
    <row r="19" spans="1:7">
      <c r="A19" s="105" t="s">
        <v>838</v>
      </c>
      <c r="B19" s="4">
        <f>POWER((1.96*B4)/0.1,2)</f>
        <v>304.12666666666672</v>
      </c>
      <c r="C19" s="4">
        <f>POWER((1.96*B5)/0.1,2)</f>
        <v>129.91124999999994</v>
      </c>
      <c r="D19" s="4">
        <f>POWER((1.96*B6)/0.1,2)</f>
        <v>428.32124999999979</v>
      </c>
      <c r="E19" s="4">
        <f>POWER((1.96*B7)/0.1,2)</f>
        <v>315.13124999999997</v>
      </c>
      <c r="F19" s="4">
        <f>POWER((1.96*B8)/0.1,2)</f>
        <v>144.05999999999995</v>
      </c>
      <c r="G19" s="4">
        <f>POWER((1.96*B9)/0.1,2)</f>
        <v>246.95999999999995</v>
      </c>
    </row>
    <row r="20" spans="1:7">
      <c r="A20" s="106" t="s">
        <v>839</v>
      </c>
      <c r="B20" s="4">
        <f>POWER((2.58*B4)/0.1,2)</f>
        <v>526.96500000000026</v>
      </c>
      <c r="C20" s="4">
        <f>POWER((2.58*B5)/0.1,2)</f>
        <v>225.09924107142857</v>
      </c>
      <c r="D20" s="4">
        <f>POWER((2.58*B6)/0.1,2)</f>
        <v>742.15888392857141</v>
      </c>
      <c r="E20" s="4">
        <f>POWER((2.58*B7)/0.1,2)</f>
        <v>546.03281249999998</v>
      </c>
      <c r="F20" s="4">
        <f>POWER((2.58*B8)/0.1,2)</f>
        <v>249.61499999999995</v>
      </c>
      <c r="G20" s="4">
        <f>POWER((2.58*B9)/0.1,2)</f>
        <v>427.91142857142864</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85546875" customWidth="1"/>
    <col min="7" max="7" width="10.5703125" style="46"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s="46" customFormat="1" ht="133.35" customHeight="1">
      <c r="A1" s="177" t="s">
        <v>1286</v>
      </c>
      <c r="B1" s="171"/>
      <c r="C1" s="171"/>
      <c r="D1" s="171"/>
      <c r="E1" s="171"/>
      <c r="F1" s="171"/>
      <c r="H1" s="62"/>
      <c r="I1" s="134" t="s">
        <v>1272</v>
      </c>
      <c r="J1" s="129" t="e">
        <f>AVERAGE(O4:O1004)</f>
        <v>#VALUE!</v>
      </c>
      <c r="K1" s="130" t="s">
        <v>1285</v>
      </c>
      <c r="L1" s="131" t="e">
        <f>STDEV(O4:O1004)</f>
        <v>#VALUE!</v>
      </c>
      <c r="M1" s="132" t="s">
        <v>1287</v>
      </c>
      <c r="N1" s="133" t="e">
        <f>CONFIDENCE(0.05,L1,Results!E3)</f>
        <v>#VALUE!</v>
      </c>
      <c r="O1" s="135"/>
    </row>
    <row r="2" spans="1:23">
      <c r="A2" s="188" t="s">
        <v>1269</v>
      </c>
      <c r="B2" s="188"/>
      <c r="C2" s="188"/>
      <c r="D2" s="188"/>
      <c r="E2" s="188"/>
      <c r="F2" s="188"/>
      <c r="G2" s="51"/>
      <c r="I2" s="188" t="s">
        <v>1270</v>
      </c>
      <c r="J2" s="188"/>
      <c r="K2" s="188"/>
      <c r="L2" s="188"/>
      <c r="M2" s="188"/>
      <c r="N2" s="188"/>
      <c r="O2" s="1"/>
      <c r="P2" s="15"/>
      <c r="Q2" s="189" t="s">
        <v>1529</v>
      </c>
      <c r="R2" s="189"/>
      <c r="S2" s="189"/>
      <c r="T2" s="189"/>
      <c r="U2" s="189"/>
      <c r="V2" s="189"/>
      <c r="W2" s="189"/>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1271</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1272</v>
      </c>
      <c r="P3" s="15"/>
      <c r="Q3" s="148" t="s">
        <v>1526</v>
      </c>
      <c r="R3" s="148" t="s">
        <v>106</v>
      </c>
      <c r="S3" s="148" t="s">
        <v>1527</v>
      </c>
      <c r="T3" s="148" t="s">
        <v>3</v>
      </c>
      <c r="U3" s="148" t="s">
        <v>112</v>
      </c>
      <c r="V3" s="182" t="s">
        <v>1528</v>
      </c>
      <c r="W3" s="182"/>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2.4019607843137254</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1.0972222222222221</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2.6857142857142855</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1.161111111111111</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2.020833333333333</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1.4567901234567899</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0.66666666666666674</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2.4194444444444447</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140625" defaultRowHeight="15"/>
  <cols>
    <col min="1" max="1" width="18.42578125" customWidth="1"/>
    <col min="2" max="53" width="15.5703125" customWidth="1"/>
    <col min="54" max="54" width="18.85546875" customWidth="1"/>
    <col min="55" max="55" width="18.5703125" customWidth="1"/>
    <col min="56" max="61" width="18.4257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1354</v>
      </c>
      <c r="C7" s="46" t="s">
        <v>497</v>
      </c>
      <c r="D7" t="s">
        <v>480</v>
      </c>
      <c r="E7" t="s">
        <v>481</v>
      </c>
      <c r="F7" t="s">
        <v>1199</v>
      </c>
      <c r="G7" t="s">
        <v>1200</v>
      </c>
      <c r="H7" t="s">
        <v>1212</v>
      </c>
      <c r="I7" t="s">
        <v>1213</v>
      </c>
      <c r="J7" s="46"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4" t="s">
        <v>2200</v>
      </c>
      <c r="BI9" s="154"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6" t="s">
        <v>840</v>
      </c>
      <c r="B14" s="49" t="s">
        <v>841</v>
      </c>
      <c r="C14" s="49" t="s">
        <v>842</v>
      </c>
      <c r="D14" s="49" t="s">
        <v>843</v>
      </c>
      <c r="E14" s="49" t="s">
        <v>844</v>
      </c>
      <c r="F14" s="49" t="s">
        <v>845</v>
      </c>
      <c r="G14" s="49" t="s">
        <v>846</v>
      </c>
      <c r="H14" s="49" t="s">
        <v>847</v>
      </c>
      <c r="I14" s="49" t="s">
        <v>848</v>
      </c>
      <c r="J14" s="49" t="s">
        <v>849</v>
      </c>
      <c r="K14" s="49" t="s">
        <v>850</v>
      </c>
      <c r="L14" s="49" t="s">
        <v>851</v>
      </c>
      <c r="M14" s="49" t="s">
        <v>852</v>
      </c>
      <c r="N14" s="49" t="s">
        <v>853</v>
      </c>
      <c r="O14" s="49" t="s">
        <v>854</v>
      </c>
      <c r="P14" s="49" t="s">
        <v>855</v>
      </c>
      <c r="Q14" s="49" t="s">
        <v>856</v>
      </c>
      <c r="R14" s="49" t="s">
        <v>857</v>
      </c>
      <c r="S14" s="49" t="s">
        <v>858</v>
      </c>
      <c r="T14" s="49" t="s">
        <v>859</v>
      </c>
      <c r="U14" s="49" t="s">
        <v>860</v>
      </c>
      <c r="V14" s="49" t="s">
        <v>861</v>
      </c>
      <c r="W14" s="49" t="s">
        <v>862</v>
      </c>
      <c r="X14" s="49" t="s">
        <v>863</v>
      </c>
      <c r="Y14" s="49" t="s">
        <v>864</v>
      </c>
      <c r="Z14" s="49" t="s">
        <v>865</v>
      </c>
      <c r="AA14" s="49" t="s">
        <v>866</v>
      </c>
      <c r="AB14" s="49" t="s">
        <v>867</v>
      </c>
      <c r="AC14" s="49" t="s">
        <v>868</v>
      </c>
      <c r="AD14" s="49" t="s">
        <v>846</v>
      </c>
      <c r="AE14" s="49" t="s">
        <v>869</v>
      </c>
      <c r="AF14" s="49" t="s">
        <v>870</v>
      </c>
      <c r="AG14" s="49" t="s">
        <v>871</v>
      </c>
      <c r="AH14" s="49" t="s">
        <v>872</v>
      </c>
      <c r="AI14" s="49" t="s">
        <v>873</v>
      </c>
      <c r="AJ14" s="49" t="s">
        <v>874</v>
      </c>
      <c r="AK14" s="49" t="s">
        <v>875</v>
      </c>
      <c r="AL14" s="49" t="s">
        <v>876</v>
      </c>
      <c r="AM14" s="49" t="s">
        <v>877</v>
      </c>
      <c r="AN14" s="49" t="s">
        <v>878</v>
      </c>
      <c r="AO14" s="49" t="s">
        <v>879</v>
      </c>
      <c r="AP14" s="49" t="s">
        <v>880</v>
      </c>
      <c r="AQ14" s="49" t="s">
        <v>881</v>
      </c>
      <c r="AR14" s="49" t="s">
        <v>882</v>
      </c>
      <c r="AS14" s="49" t="s">
        <v>883</v>
      </c>
      <c r="AT14" s="49" t="s">
        <v>884</v>
      </c>
      <c r="AU14" s="49" t="s">
        <v>885</v>
      </c>
      <c r="AV14" s="49" t="s">
        <v>886</v>
      </c>
      <c r="AW14" s="49" t="s">
        <v>887</v>
      </c>
      <c r="AX14" s="49" t="s">
        <v>888</v>
      </c>
      <c r="AY14" s="49" t="s">
        <v>889</v>
      </c>
      <c r="AZ14" s="49" t="s">
        <v>860</v>
      </c>
      <c r="BA14" s="49" t="s">
        <v>869</v>
      </c>
      <c r="BB14" s="46" t="s">
        <v>890</v>
      </c>
      <c r="BC14" s="46" t="s">
        <v>891</v>
      </c>
      <c r="BD14" s="46" t="s">
        <v>892</v>
      </c>
      <c r="BE14" s="46" t="s">
        <v>893</v>
      </c>
      <c r="BF14" s="46" t="s">
        <v>894</v>
      </c>
      <c r="BG14" s="46" t="s">
        <v>895</v>
      </c>
      <c r="BH14" s="46" t="s">
        <v>896</v>
      </c>
      <c r="BI14" s="46" t="s">
        <v>897</v>
      </c>
    </row>
    <row r="15" spans="1:61">
      <c r="A15" t="s">
        <v>950</v>
      </c>
      <c r="B15" s="49" t="s">
        <v>898</v>
      </c>
      <c r="C15" s="49" t="s">
        <v>899</v>
      </c>
      <c r="D15" s="49" t="s">
        <v>900</v>
      </c>
      <c r="E15" s="49" t="s">
        <v>901</v>
      </c>
      <c r="F15" s="49" t="s">
        <v>902</v>
      </c>
      <c r="G15" s="49" t="s">
        <v>903</v>
      </c>
      <c r="H15" s="49" t="s">
        <v>904</v>
      </c>
      <c r="I15" s="49" t="s">
        <v>905</v>
      </c>
      <c r="J15" s="49" t="s">
        <v>906</v>
      </c>
      <c r="K15" s="49" t="s">
        <v>907</v>
      </c>
      <c r="L15" s="49" t="s">
        <v>908</v>
      </c>
      <c r="M15" s="49" t="s">
        <v>909</v>
      </c>
      <c r="N15" s="49" t="s">
        <v>910</v>
      </c>
      <c r="O15" s="49" t="s">
        <v>911</v>
      </c>
      <c r="P15" s="49" t="s">
        <v>912</v>
      </c>
      <c r="Q15" s="49" t="s">
        <v>913</v>
      </c>
      <c r="R15" s="49" t="s">
        <v>914</v>
      </c>
      <c r="S15" s="49" t="s">
        <v>915</v>
      </c>
      <c r="T15" s="49" t="s">
        <v>916</v>
      </c>
      <c r="U15" s="49" t="s">
        <v>917</v>
      </c>
      <c r="V15" s="49" t="s">
        <v>918</v>
      </c>
      <c r="W15" s="49" t="s">
        <v>919</v>
      </c>
      <c r="X15" s="49" t="s">
        <v>920</v>
      </c>
      <c r="Y15" s="49" t="s">
        <v>921</v>
      </c>
      <c r="Z15" s="49" t="s">
        <v>922</v>
      </c>
      <c r="AA15" s="49" t="s">
        <v>923</v>
      </c>
      <c r="AB15" s="49" t="s">
        <v>924</v>
      </c>
      <c r="AC15" s="49" t="s">
        <v>925</v>
      </c>
      <c r="AD15" s="49" t="s">
        <v>926</v>
      </c>
      <c r="AE15" s="49" t="s">
        <v>927</v>
      </c>
      <c r="AF15" s="49" t="s">
        <v>928</v>
      </c>
      <c r="AG15" s="49" t="s">
        <v>929</v>
      </c>
      <c r="AH15" s="49" t="s">
        <v>930</v>
      </c>
      <c r="AI15" s="49" t="s">
        <v>931</v>
      </c>
      <c r="AJ15" s="49" t="s">
        <v>932</v>
      </c>
      <c r="AK15" s="49" t="s">
        <v>933</v>
      </c>
      <c r="AL15" s="49" t="s">
        <v>934</v>
      </c>
      <c r="AM15" s="49" t="s">
        <v>935</v>
      </c>
      <c r="AN15" s="49" t="s">
        <v>936</v>
      </c>
      <c r="AO15" s="49" t="s">
        <v>937</v>
      </c>
      <c r="AP15" s="49" t="s">
        <v>938</v>
      </c>
      <c r="AQ15" s="49" t="s">
        <v>939</v>
      </c>
      <c r="AR15" s="49" t="s">
        <v>940</v>
      </c>
      <c r="AS15" s="49" t="s">
        <v>941</v>
      </c>
      <c r="AT15" s="49" t="s">
        <v>942</v>
      </c>
      <c r="AU15" s="49" t="s">
        <v>943</v>
      </c>
      <c r="AV15" s="49" t="s">
        <v>944</v>
      </c>
      <c r="AW15" s="49" t="s">
        <v>945</v>
      </c>
      <c r="AX15" s="49" t="s">
        <v>946</v>
      </c>
      <c r="AY15" s="49" t="s">
        <v>947</v>
      </c>
      <c r="AZ15" s="49" t="s">
        <v>948</v>
      </c>
      <c r="BA15" s="49" t="s">
        <v>949</v>
      </c>
      <c r="BB15" s="50" t="s">
        <v>951</v>
      </c>
      <c r="BC15" s="47" t="s">
        <v>953</v>
      </c>
      <c r="BD15" s="47" t="s">
        <v>952</v>
      </c>
      <c r="BE15" s="48" t="s">
        <v>954</v>
      </c>
      <c r="BF15" s="48" t="s">
        <v>955</v>
      </c>
      <c r="BG15" s="47" t="s">
        <v>956</v>
      </c>
      <c r="BH15" s="46" t="s">
        <v>957</v>
      </c>
      <c r="BI15" s="46" t="s">
        <v>958</v>
      </c>
    </row>
    <row r="16" spans="1:61">
      <c r="A16" t="s">
        <v>959</v>
      </c>
      <c r="B16" s="49" t="s">
        <v>968</v>
      </c>
      <c r="C16" s="49" t="s">
        <v>969</v>
      </c>
      <c r="D16" s="49" t="s">
        <v>970</v>
      </c>
      <c r="E16" s="49" t="s">
        <v>971</v>
      </c>
      <c r="F16" s="49" t="s">
        <v>972</v>
      </c>
      <c r="G16" s="49" t="s">
        <v>973</v>
      </c>
      <c r="H16" s="49" t="s">
        <v>974</v>
      </c>
      <c r="I16" s="49" t="s">
        <v>975</v>
      </c>
      <c r="J16" s="49" t="s">
        <v>976</v>
      </c>
      <c r="K16" s="49" t="s">
        <v>977</v>
      </c>
      <c r="L16" s="49" t="s">
        <v>973</v>
      </c>
      <c r="M16" s="49" t="s">
        <v>978</v>
      </c>
      <c r="N16" s="49" t="s">
        <v>979</v>
      </c>
      <c r="O16" s="49" t="s">
        <v>980</v>
      </c>
      <c r="P16" s="49" t="s">
        <v>981</v>
      </c>
      <c r="Q16" s="49" t="s">
        <v>982</v>
      </c>
      <c r="R16" s="49" t="s">
        <v>983</v>
      </c>
      <c r="S16" s="49" t="s">
        <v>984</v>
      </c>
      <c r="T16" s="49" t="s">
        <v>985</v>
      </c>
      <c r="U16" s="49" t="s">
        <v>986</v>
      </c>
      <c r="V16" s="49" t="s">
        <v>987</v>
      </c>
      <c r="W16" s="49" t="s">
        <v>988</v>
      </c>
      <c r="X16" s="49" t="s">
        <v>989</v>
      </c>
      <c r="Y16" s="49" t="s">
        <v>990</v>
      </c>
      <c r="Z16" s="49" t="s">
        <v>991</v>
      </c>
      <c r="AA16" s="49" t="s">
        <v>992</v>
      </c>
      <c r="AB16" s="49" t="s">
        <v>993</v>
      </c>
      <c r="AC16" s="49" t="s">
        <v>994</v>
      </c>
      <c r="AD16" s="49" t="s">
        <v>995</v>
      </c>
      <c r="AE16" s="49" t="s">
        <v>996</v>
      </c>
      <c r="AF16" s="49" t="s">
        <v>997</v>
      </c>
      <c r="AG16" s="49" t="s">
        <v>998</v>
      </c>
      <c r="AH16" s="49" t="s">
        <v>999</v>
      </c>
      <c r="AI16" s="49" t="s">
        <v>1000</v>
      </c>
      <c r="AJ16" s="49" t="s">
        <v>1001</v>
      </c>
      <c r="AK16" s="49" t="s">
        <v>1002</v>
      </c>
      <c r="AL16" s="49" t="s">
        <v>1003</v>
      </c>
      <c r="AM16" s="49" t="s">
        <v>1004</v>
      </c>
      <c r="AN16" s="49" t="s">
        <v>1005</v>
      </c>
      <c r="AO16" s="49" t="s">
        <v>1006</v>
      </c>
      <c r="AP16" s="49" t="s">
        <v>1007</v>
      </c>
      <c r="AQ16" s="49" t="s">
        <v>1008</v>
      </c>
      <c r="AR16" s="49" t="s">
        <v>1009</v>
      </c>
      <c r="AS16" s="49" t="s">
        <v>1010</v>
      </c>
      <c r="AT16" s="49" t="s">
        <v>1011</v>
      </c>
      <c r="AU16" s="49" t="s">
        <v>1012</v>
      </c>
      <c r="AV16" s="49" t="s">
        <v>1013</v>
      </c>
      <c r="AW16" s="49" t="s">
        <v>1014</v>
      </c>
      <c r="AX16" s="49" t="s">
        <v>1015</v>
      </c>
      <c r="AY16" s="49" t="s">
        <v>1016</v>
      </c>
      <c r="AZ16" s="49" t="s">
        <v>1017</v>
      </c>
      <c r="BA16" s="49" t="s">
        <v>1018</v>
      </c>
      <c r="BB16" s="24" t="s">
        <v>962</v>
      </c>
      <c r="BC16" t="s">
        <v>966</v>
      </c>
      <c r="BD16" s="25" t="s">
        <v>965</v>
      </c>
      <c r="BE16" t="s">
        <v>967</v>
      </c>
      <c r="BF16" t="s">
        <v>964</v>
      </c>
      <c r="BG16" t="s">
        <v>963</v>
      </c>
      <c r="BH16" t="s">
        <v>961</v>
      </c>
      <c r="BI16" t="s">
        <v>960</v>
      </c>
    </row>
    <row r="17" spans="1:61">
      <c r="A17" t="s">
        <v>1071</v>
      </c>
      <c r="B17" s="49" t="s">
        <v>1019</v>
      </c>
      <c r="C17" s="49" t="s">
        <v>1020</v>
      </c>
      <c r="D17" s="49" t="s">
        <v>1021</v>
      </c>
      <c r="E17" s="49" t="s">
        <v>1022</v>
      </c>
      <c r="F17" s="49" t="s">
        <v>1023</v>
      </c>
      <c r="G17" s="49" t="s">
        <v>1024</v>
      </c>
      <c r="H17" s="49" t="s">
        <v>1025</v>
      </c>
      <c r="I17" s="49" t="s">
        <v>1026</v>
      </c>
      <c r="J17" s="49" t="s">
        <v>1027</v>
      </c>
      <c r="K17" s="49" t="s">
        <v>1028</v>
      </c>
      <c r="L17" s="49" t="s">
        <v>1029</v>
      </c>
      <c r="M17" s="49" t="s">
        <v>1030</v>
      </c>
      <c r="N17" s="49" t="s">
        <v>1031</v>
      </c>
      <c r="O17" s="49" t="s">
        <v>1032</v>
      </c>
      <c r="P17" s="49" t="s">
        <v>1033</v>
      </c>
      <c r="Q17" s="49" t="s">
        <v>1034</v>
      </c>
      <c r="R17" s="49" t="s">
        <v>1035</v>
      </c>
      <c r="S17" s="49" t="s">
        <v>1036</v>
      </c>
      <c r="T17" s="49" t="s">
        <v>1037</v>
      </c>
      <c r="U17" s="49" t="s">
        <v>1038</v>
      </c>
      <c r="V17" s="49" t="s">
        <v>1039</v>
      </c>
      <c r="W17" s="49" t="s">
        <v>1040</v>
      </c>
      <c r="X17" s="49" t="s">
        <v>1041</v>
      </c>
      <c r="Y17" s="49" t="s">
        <v>1042</v>
      </c>
      <c r="Z17" s="49" t="s">
        <v>1043</v>
      </c>
      <c r="AA17" s="49" t="s">
        <v>1044</v>
      </c>
      <c r="AB17" s="49" t="s">
        <v>1045</v>
      </c>
      <c r="AC17" s="49" t="s">
        <v>1046</v>
      </c>
      <c r="AD17" s="49" t="s">
        <v>1047</v>
      </c>
      <c r="AE17" s="49" t="s">
        <v>1048</v>
      </c>
      <c r="AF17" s="49" t="s">
        <v>1049</v>
      </c>
      <c r="AG17" s="49" t="s">
        <v>1050</v>
      </c>
      <c r="AH17" s="49" t="s">
        <v>1051</v>
      </c>
      <c r="AI17" s="49" t="s">
        <v>1052</v>
      </c>
      <c r="AJ17" s="49" t="s">
        <v>1053</v>
      </c>
      <c r="AK17" s="49" t="s">
        <v>1054</v>
      </c>
      <c r="AL17" s="49" t="s">
        <v>1055</v>
      </c>
      <c r="AM17" s="49" t="s">
        <v>1056</v>
      </c>
      <c r="AN17" s="49" t="s">
        <v>1057</v>
      </c>
      <c r="AO17" s="49" t="s">
        <v>1058</v>
      </c>
      <c r="AP17" s="49" t="s">
        <v>1059</v>
      </c>
      <c r="AQ17" s="49" t="s">
        <v>1060</v>
      </c>
      <c r="AR17" s="49" t="s">
        <v>1061</v>
      </c>
      <c r="AS17" s="49" t="s">
        <v>1062</v>
      </c>
      <c r="AT17" s="49" t="s">
        <v>1063</v>
      </c>
      <c r="AU17" s="49" t="s">
        <v>1064</v>
      </c>
      <c r="AV17" s="49" t="s">
        <v>1065</v>
      </c>
      <c r="AW17" s="49" t="s">
        <v>1066</v>
      </c>
      <c r="AX17" s="49" t="s">
        <v>1067</v>
      </c>
      <c r="AY17" s="49" t="s">
        <v>1068</v>
      </c>
      <c r="AZ17" s="49" t="s">
        <v>1069</v>
      </c>
      <c r="BA17" s="49" t="s">
        <v>1070</v>
      </c>
      <c r="BB17" s="49" t="s">
        <v>1072</v>
      </c>
      <c r="BC17" t="s">
        <v>1073</v>
      </c>
      <c r="BD17" s="25" t="s">
        <v>1074</v>
      </c>
      <c r="BE17" t="s">
        <v>1075</v>
      </c>
      <c r="BF17" t="s">
        <v>1076</v>
      </c>
      <c r="BG17" t="s">
        <v>1077</v>
      </c>
      <c r="BH17" t="s">
        <v>1078</v>
      </c>
      <c r="BI17" t="s">
        <v>1079</v>
      </c>
    </row>
    <row r="18" spans="1:61">
      <c r="A18" t="s">
        <v>1080</v>
      </c>
      <c r="B18" s="49" t="s">
        <v>1081</v>
      </c>
      <c r="C18" s="49" t="s">
        <v>1082</v>
      </c>
      <c r="D18" s="49" t="s">
        <v>1083</v>
      </c>
      <c r="E18" s="49" t="s">
        <v>1084</v>
      </c>
      <c r="F18" s="49" t="s">
        <v>1085</v>
      </c>
      <c r="G18" s="49" t="s">
        <v>1086</v>
      </c>
      <c r="H18" s="49" t="s">
        <v>1087</v>
      </c>
      <c r="I18" s="49" t="s">
        <v>1088</v>
      </c>
      <c r="J18" s="49" t="s">
        <v>1089</v>
      </c>
      <c r="K18" s="49" t="s">
        <v>1090</v>
      </c>
      <c r="L18" s="49" t="s">
        <v>1086</v>
      </c>
      <c r="M18" s="49" t="s">
        <v>1091</v>
      </c>
      <c r="N18" s="49" t="s">
        <v>1092</v>
      </c>
      <c r="O18" s="49" t="s">
        <v>1093</v>
      </c>
      <c r="P18" s="49" t="s">
        <v>1094</v>
      </c>
      <c r="Q18" s="49" t="s">
        <v>1095</v>
      </c>
      <c r="R18" s="49" t="s">
        <v>1096</v>
      </c>
      <c r="S18" s="49" t="s">
        <v>1097</v>
      </c>
      <c r="T18" s="49" t="s">
        <v>1098</v>
      </c>
      <c r="U18" s="49" t="s">
        <v>1099</v>
      </c>
      <c r="V18" s="49" t="s">
        <v>1100</v>
      </c>
      <c r="W18" s="49" t="s">
        <v>1101</v>
      </c>
      <c r="X18" s="49" t="s">
        <v>1102</v>
      </c>
      <c r="Y18" s="49" t="s">
        <v>1103</v>
      </c>
      <c r="Z18" s="49" t="s">
        <v>1104</v>
      </c>
      <c r="AA18" s="49" t="s">
        <v>1105</v>
      </c>
      <c r="AB18" s="49" t="s">
        <v>1106</v>
      </c>
      <c r="AC18" s="49" t="s">
        <v>1082</v>
      </c>
      <c r="AD18" s="49" t="s">
        <v>1107</v>
      </c>
      <c r="AE18" s="49" t="s">
        <v>1108</v>
      </c>
      <c r="AF18" s="49" t="s">
        <v>1109</v>
      </c>
      <c r="AG18" s="49" t="s">
        <v>1110</v>
      </c>
      <c r="AH18" s="49" t="s">
        <v>1111</v>
      </c>
      <c r="AI18" s="49" t="s">
        <v>1112</v>
      </c>
      <c r="AJ18" s="49" t="s">
        <v>1113</v>
      </c>
      <c r="AK18" s="49" t="s">
        <v>1114</v>
      </c>
      <c r="AL18" s="49" t="s">
        <v>1115</v>
      </c>
      <c r="AM18" s="49" t="s">
        <v>1116</v>
      </c>
      <c r="AN18" s="49" t="s">
        <v>1117</v>
      </c>
      <c r="AO18" s="49" t="s">
        <v>1118</v>
      </c>
      <c r="AP18" s="49" t="s">
        <v>1119</v>
      </c>
      <c r="AQ18" s="49" t="s">
        <v>1120</v>
      </c>
      <c r="AR18" s="49" t="s">
        <v>1121</v>
      </c>
      <c r="AS18" s="49" t="s">
        <v>1122</v>
      </c>
      <c r="AT18" s="49" t="s">
        <v>1123</v>
      </c>
      <c r="AU18" s="49" t="s">
        <v>1124</v>
      </c>
      <c r="AV18" s="49" t="s">
        <v>1125</v>
      </c>
      <c r="AW18" s="49" t="s">
        <v>1126</v>
      </c>
      <c r="AX18" s="49" t="s">
        <v>1127</v>
      </c>
      <c r="AY18" s="49" t="s">
        <v>1128</v>
      </c>
      <c r="AZ18" s="49" t="s">
        <v>1129</v>
      </c>
      <c r="BA18" s="49" t="s">
        <v>1130</v>
      </c>
      <c r="BB18" t="s">
        <v>1131</v>
      </c>
      <c r="BC18" t="s">
        <v>1132</v>
      </c>
      <c r="BD18" t="s">
        <v>1133</v>
      </c>
      <c r="BE18" t="s">
        <v>1134</v>
      </c>
      <c r="BF18" t="s">
        <v>1136</v>
      </c>
      <c r="BG18" t="s">
        <v>1135</v>
      </c>
      <c r="BH18" t="s">
        <v>1137</v>
      </c>
      <c r="BI18" t="s">
        <v>1138</v>
      </c>
    </row>
    <row r="19" spans="1:61">
      <c r="A19" t="s">
        <v>1139</v>
      </c>
      <c r="B19" s="49" t="s">
        <v>1140</v>
      </c>
      <c r="C19" s="49" t="s">
        <v>1141</v>
      </c>
      <c r="D19" s="49" t="s">
        <v>1142</v>
      </c>
      <c r="E19" s="49" t="s">
        <v>1143</v>
      </c>
      <c r="F19" s="49" t="s">
        <v>1144</v>
      </c>
      <c r="G19" s="49" t="s">
        <v>1145</v>
      </c>
      <c r="H19" s="49" t="s">
        <v>1146</v>
      </c>
      <c r="I19" s="49" t="s">
        <v>1147</v>
      </c>
      <c r="J19" s="49" t="s">
        <v>1148</v>
      </c>
      <c r="K19" s="49" t="s">
        <v>1149</v>
      </c>
      <c r="L19" s="49" t="s">
        <v>1150</v>
      </c>
      <c r="M19" s="49" t="s">
        <v>1151</v>
      </c>
      <c r="N19" s="49" t="s">
        <v>1152</v>
      </c>
      <c r="O19" s="49" t="s">
        <v>1151</v>
      </c>
      <c r="P19" s="49" t="s">
        <v>1153</v>
      </c>
      <c r="Q19" s="49" t="s">
        <v>1154</v>
      </c>
      <c r="R19" s="49" t="s">
        <v>1155</v>
      </c>
      <c r="S19" s="49" t="s">
        <v>1156</v>
      </c>
      <c r="T19" s="49" t="s">
        <v>1157</v>
      </c>
      <c r="U19" s="49" t="s">
        <v>1158</v>
      </c>
      <c r="V19" s="49" t="s">
        <v>1159</v>
      </c>
      <c r="W19" s="49" t="s">
        <v>1160</v>
      </c>
      <c r="X19" s="49" t="s">
        <v>1161</v>
      </c>
      <c r="Y19" s="49" t="s">
        <v>1162</v>
      </c>
      <c r="Z19" s="49" t="s">
        <v>1163</v>
      </c>
      <c r="AA19" s="49" t="s">
        <v>1164</v>
      </c>
      <c r="AB19" s="49" t="s">
        <v>1165</v>
      </c>
      <c r="AC19" s="49" t="s">
        <v>1166</v>
      </c>
      <c r="AD19" s="49" t="s">
        <v>1167</v>
      </c>
      <c r="AE19" s="49" t="s">
        <v>1168</v>
      </c>
      <c r="AF19" s="49" t="s">
        <v>1169</v>
      </c>
      <c r="AG19" s="49" t="s">
        <v>1170</v>
      </c>
      <c r="AH19" s="49" t="s">
        <v>1171</v>
      </c>
      <c r="AI19" s="49" t="s">
        <v>1172</v>
      </c>
      <c r="AJ19" s="49" t="s">
        <v>1173</v>
      </c>
      <c r="AK19" s="49" t="s">
        <v>1174</v>
      </c>
      <c r="AL19" s="49" t="s">
        <v>1175</v>
      </c>
      <c r="AM19" s="49" t="s">
        <v>1176</v>
      </c>
      <c r="AN19" s="49" t="s">
        <v>1177</v>
      </c>
      <c r="AO19" s="49" t="s">
        <v>1178</v>
      </c>
      <c r="AP19" s="49" t="s">
        <v>1179</v>
      </c>
      <c r="AQ19" s="49" t="s">
        <v>1180</v>
      </c>
      <c r="AR19" s="49" t="s">
        <v>1181</v>
      </c>
      <c r="AS19" s="49" t="s">
        <v>1182</v>
      </c>
      <c r="AT19" s="49" t="s">
        <v>1183</v>
      </c>
      <c r="AU19" s="49" t="s">
        <v>1184</v>
      </c>
      <c r="AV19" s="49" t="s">
        <v>1185</v>
      </c>
      <c r="AW19" s="49" t="s">
        <v>1186</v>
      </c>
      <c r="AX19" s="49" t="s">
        <v>1187</v>
      </c>
      <c r="AY19" s="49" t="s">
        <v>1188</v>
      </c>
      <c r="AZ19" s="49" t="s">
        <v>1189</v>
      </c>
      <c r="BA19" s="49" t="s">
        <v>1190</v>
      </c>
      <c r="BB19" s="25" t="s">
        <v>1191</v>
      </c>
      <c r="BC19" t="s">
        <v>1192</v>
      </c>
      <c r="BD19" t="s">
        <v>1193</v>
      </c>
      <c r="BE19" t="s">
        <v>1194</v>
      </c>
      <c r="BF19" t="s">
        <v>1195</v>
      </c>
      <c r="BG19" t="s">
        <v>1196</v>
      </c>
      <c r="BH19" t="s">
        <v>1197</v>
      </c>
      <c r="BI19" t="s">
        <v>1198</v>
      </c>
    </row>
    <row r="20" spans="1:61">
      <c r="A20" t="s">
        <v>1215</v>
      </c>
      <c r="B20" s="49" t="s">
        <v>1261</v>
      </c>
      <c r="C20" s="49" t="s">
        <v>1216</v>
      </c>
      <c r="D20" s="49" t="s">
        <v>1217</v>
      </c>
      <c r="E20" s="49" t="s">
        <v>1218</v>
      </c>
      <c r="F20" s="49" t="s">
        <v>1219</v>
      </c>
      <c r="G20" s="49" t="s">
        <v>1220</v>
      </c>
      <c r="H20" s="49" t="s">
        <v>1221</v>
      </c>
      <c r="I20" s="49" t="s">
        <v>1222</v>
      </c>
      <c r="J20" s="49" t="s">
        <v>1223</v>
      </c>
      <c r="K20" s="49" t="s">
        <v>1224</v>
      </c>
      <c r="L20" s="49" t="s">
        <v>1220</v>
      </c>
      <c r="M20" s="49" t="s">
        <v>1225</v>
      </c>
      <c r="N20" s="49" t="s">
        <v>1226</v>
      </c>
      <c r="O20" s="49" t="s">
        <v>1227</v>
      </c>
      <c r="P20" s="49" t="s">
        <v>1228</v>
      </c>
      <c r="Q20" s="49" t="s">
        <v>1229</v>
      </c>
      <c r="R20" s="49" t="s">
        <v>1230</v>
      </c>
      <c r="S20" s="49" t="s">
        <v>1231</v>
      </c>
      <c r="T20" s="49" t="s">
        <v>1232</v>
      </c>
      <c r="U20" s="49" t="s">
        <v>1233</v>
      </c>
      <c r="V20" s="49" t="s">
        <v>1234</v>
      </c>
      <c r="W20" s="49" t="s">
        <v>1262</v>
      </c>
      <c r="X20" s="49" t="s">
        <v>1235</v>
      </c>
      <c r="Y20" s="49" t="s">
        <v>1236</v>
      </c>
      <c r="Z20" s="49" t="s">
        <v>1237</v>
      </c>
      <c r="AA20" s="49" t="s">
        <v>1238</v>
      </c>
      <c r="AB20" s="49" t="s">
        <v>1239</v>
      </c>
      <c r="AC20" s="49" t="s">
        <v>1216</v>
      </c>
      <c r="AD20" s="49" t="s">
        <v>1240</v>
      </c>
      <c r="AE20" s="49" t="s">
        <v>1241</v>
      </c>
      <c r="AF20" s="49" t="s">
        <v>1242</v>
      </c>
      <c r="AG20" s="49" t="s">
        <v>1216</v>
      </c>
      <c r="AH20" s="49" t="s">
        <v>1243</v>
      </c>
      <c r="AI20" s="49" t="s">
        <v>1244</v>
      </c>
      <c r="AJ20" s="49" t="s">
        <v>1245</v>
      </c>
      <c r="AK20" s="49" t="s">
        <v>1246</v>
      </c>
      <c r="AL20" s="49" t="s">
        <v>1247</v>
      </c>
      <c r="AM20" s="49" t="s">
        <v>1248</v>
      </c>
      <c r="AN20" s="49" t="s">
        <v>2202</v>
      </c>
      <c r="AO20" t="s">
        <v>2203</v>
      </c>
      <c r="AP20" s="49" t="s">
        <v>1249</v>
      </c>
      <c r="AQ20" s="49" t="s">
        <v>1250</v>
      </c>
      <c r="AR20" s="49" t="s">
        <v>1251</v>
      </c>
      <c r="AS20" s="49" t="s">
        <v>1252</v>
      </c>
      <c r="AT20" s="49" t="s">
        <v>1253</v>
      </c>
      <c r="AU20" s="49" t="s">
        <v>1254</v>
      </c>
      <c r="AV20" s="49" t="s">
        <v>1255</v>
      </c>
      <c r="AW20" s="49" t="s">
        <v>1256</v>
      </c>
      <c r="AX20" s="49" t="s">
        <v>1257</v>
      </c>
      <c r="AY20" s="49" t="s">
        <v>1258</v>
      </c>
      <c r="AZ20" s="49" t="s">
        <v>1259</v>
      </c>
      <c r="BA20" s="49" t="s">
        <v>1260</v>
      </c>
      <c r="BB20" s="49" t="s">
        <v>1263</v>
      </c>
      <c r="BC20" t="s">
        <v>1265</v>
      </c>
      <c r="BD20" t="s">
        <v>1264</v>
      </c>
      <c r="BE20" t="s">
        <v>1266</v>
      </c>
      <c r="BF20" t="s">
        <v>1267</v>
      </c>
      <c r="BG20" t="s">
        <v>1268</v>
      </c>
      <c r="BH20" t="s">
        <v>2198</v>
      </c>
      <c r="BI20" t="s">
        <v>2199</v>
      </c>
    </row>
    <row r="21" spans="1:61">
      <c r="A21" t="s">
        <v>1293</v>
      </c>
      <c r="B21" s="49" t="s">
        <v>1294</v>
      </c>
      <c r="C21" s="49" t="s">
        <v>1295</v>
      </c>
      <c r="D21" s="49" t="s">
        <v>1296</v>
      </c>
      <c r="E21" s="49" t="s">
        <v>1297</v>
      </c>
      <c r="F21" s="49" t="s">
        <v>1298</v>
      </c>
      <c r="G21" s="49" t="s">
        <v>1299</v>
      </c>
      <c r="H21" s="49" t="s">
        <v>1300</v>
      </c>
      <c r="I21" s="49" t="s">
        <v>1301</v>
      </c>
      <c r="J21" s="49" t="s">
        <v>1302</v>
      </c>
      <c r="K21" s="49" t="s">
        <v>1303</v>
      </c>
      <c r="L21" s="49" t="s">
        <v>1304</v>
      </c>
      <c r="M21" s="49" t="s">
        <v>1305</v>
      </c>
      <c r="N21" s="49" t="s">
        <v>1306</v>
      </c>
      <c r="O21" s="49" t="s">
        <v>1307</v>
      </c>
      <c r="P21" s="49" t="s">
        <v>1308</v>
      </c>
      <c r="Q21" s="49" t="s">
        <v>1309</v>
      </c>
      <c r="R21" s="49" t="s">
        <v>1310</v>
      </c>
      <c r="S21" s="49" t="s">
        <v>1311</v>
      </c>
      <c r="T21" s="49" t="s">
        <v>1312</v>
      </c>
      <c r="U21" s="49" t="s">
        <v>1313</v>
      </c>
      <c r="V21" s="49" t="s">
        <v>1314</v>
      </c>
      <c r="W21" s="49" t="s">
        <v>1315</v>
      </c>
      <c r="X21" s="49" t="s">
        <v>1316</v>
      </c>
      <c r="Y21" s="49" t="s">
        <v>1317</v>
      </c>
      <c r="Z21" s="49" t="s">
        <v>1318</v>
      </c>
      <c r="AA21" s="49" t="s">
        <v>1319</v>
      </c>
      <c r="AB21" s="49" t="s">
        <v>1320</v>
      </c>
      <c r="AC21" s="49" t="s">
        <v>1321</v>
      </c>
      <c r="AD21" s="49" t="s">
        <v>1322</v>
      </c>
      <c r="AE21" s="49" t="s">
        <v>1323</v>
      </c>
      <c r="AF21" s="49" t="s">
        <v>1324</v>
      </c>
      <c r="AG21" s="49" t="s">
        <v>1325</v>
      </c>
      <c r="AH21" s="49" t="s">
        <v>1326</v>
      </c>
      <c r="AI21" s="49" t="s">
        <v>1327</v>
      </c>
      <c r="AJ21" s="49" t="s">
        <v>1328</v>
      </c>
      <c r="AK21" s="49" t="s">
        <v>1329</v>
      </c>
      <c r="AL21" s="49" t="s">
        <v>1330</v>
      </c>
      <c r="AM21" s="49" t="s">
        <v>1331</v>
      </c>
      <c r="AN21" s="49" t="s">
        <v>1332</v>
      </c>
      <c r="AO21" s="49" t="s">
        <v>1333</v>
      </c>
      <c r="AP21" s="49" t="s">
        <v>1334</v>
      </c>
      <c r="AQ21" s="49" t="s">
        <v>1335</v>
      </c>
      <c r="AR21" s="49" t="s">
        <v>1336</v>
      </c>
      <c r="AS21" s="49" t="s">
        <v>1337</v>
      </c>
      <c r="AT21" s="49" t="s">
        <v>1338</v>
      </c>
      <c r="AU21" s="49" t="s">
        <v>1339</v>
      </c>
      <c r="AV21" s="49" t="s">
        <v>1340</v>
      </c>
      <c r="AW21" s="49" t="s">
        <v>1341</v>
      </c>
      <c r="AX21" s="49" t="s">
        <v>1342</v>
      </c>
      <c r="AY21" s="49" t="s">
        <v>1343</v>
      </c>
      <c r="AZ21" s="49" t="s">
        <v>1344</v>
      </c>
      <c r="BA21" s="49" t="s">
        <v>1345</v>
      </c>
      <c r="BB21" s="47" t="s">
        <v>1346</v>
      </c>
      <c r="BC21" s="59" t="s">
        <v>1347</v>
      </c>
      <c r="BD21" s="59" t="s">
        <v>1348</v>
      </c>
      <c r="BE21" s="59" t="s">
        <v>1349</v>
      </c>
      <c r="BF21" s="59" t="s">
        <v>1350</v>
      </c>
      <c r="BG21" s="59" t="s">
        <v>1351</v>
      </c>
      <c r="BH21" s="59" t="s">
        <v>1352</v>
      </c>
      <c r="BI21" s="59" t="s">
        <v>1353</v>
      </c>
    </row>
    <row r="22" spans="1:61">
      <c r="A22" t="s">
        <v>1355</v>
      </c>
      <c r="B22" s="49" t="s">
        <v>1356</v>
      </c>
      <c r="C22" s="49" t="s">
        <v>1357</v>
      </c>
      <c r="D22" s="49" t="s">
        <v>1358</v>
      </c>
      <c r="E22" s="49" t="s">
        <v>1359</v>
      </c>
      <c r="F22" s="49" t="s">
        <v>1360</v>
      </c>
      <c r="G22" s="49" t="s">
        <v>1361</v>
      </c>
      <c r="H22" s="49" t="s">
        <v>579</v>
      </c>
      <c r="I22" s="49" t="s">
        <v>1362</v>
      </c>
      <c r="J22" s="49" t="s">
        <v>1363</v>
      </c>
      <c r="K22" s="49" t="s">
        <v>1364</v>
      </c>
      <c r="L22" s="49" t="s">
        <v>583</v>
      </c>
      <c r="M22" s="49" t="s">
        <v>1357</v>
      </c>
      <c r="N22" s="49" t="s">
        <v>1365</v>
      </c>
      <c r="O22" s="49" t="s">
        <v>1366</v>
      </c>
      <c r="P22" s="49" t="s">
        <v>1367</v>
      </c>
      <c r="Q22" s="49" t="s">
        <v>1368</v>
      </c>
      <c r="R22" s="49" t="s">
        <v>589</v>
      </c>
      <c r="S22" s="49" t="s">
        <v>1369</v>
      </c>
      <c r="T22" s="49" t="s">
        <v>1370</v>
      </c>
      <c r="U22" s="49" t="s">
        <v>1371</v>
      </c>
      <c r="V22" s="49" t="s">
        <v>1372</v>
      </c>
      <c r="W22" s="49" t="s">
        <v>1373</v>
      </c>
      <c r="X22" s="49" t="s">
        <v>595</v>
      </c>
      <c r="Y22" s="49" t="s">
        <v>1374</v>
      </c>
      <c r="Z22" s="49" t="s">
        <v>1375</v>
      </c>
      <c r="AA22" s="49" t="s">
        <v>1376</v>
      </c>
      <c r="AB22" s="49" t="s">
        <v>599</v>
      </c>
      <c r="AC22" s="49" t="s">
        <v>1377</v>
      </c>
      <c r="AD22" s="49" t="s">
        <v>1378</v>
      </c>
      <c r="AE22" s="49" t="s">
        <v>1379</v>
      </c>
      <c r="AF22" s="49" t="s">
        <v>1380</v>
      </c>
      <c r="AG22" s="49" t="s">
        <v>574</v>
      </c>
      <c r="AH22" s="49" t="s">
        <v>1381</v>
      </c>
      <c r="AI22" s="49" t="s">
        <v>1382</v>
      </c>
      <c r="AJ22" s="49" t="s">
        <v>1383</v>
      </c>
      <c r="AK22" s="49" t="s">
        <v>1384</v>
      </c>
      <c r="AL22" s="49" t="s">
        <v>1385</v>
      </c>
      <c r="AM22" s="49" t="s">
        <v>1386</v>
      </c>
      <c r="AN22" s="49" t="s">
        <v>1387</v>
      </c>
      <c r="AO22" s="49" t="s">
        <v>1388</v>
      </c>
      <c r="AP22" s="49" t="s">
        <v>613</v>
      </c>
      <c r="AQ22" s="49" t="s">
        <v>1389</v>
      </c>
      <c r="AR22" s="49" t="s">
        <v>1390</v>
      </c>
      <c r="AS22" s="49" t="s">
        <v>1391</v>
      </c>
      <c r="AT22" s="49" t="s">
        <v>1392</v>
      </c>
      <c r="AU22" s="49" t="s">
        <v>1393</v>
      </c>
      <c r="AV22" s="49" t="s">
        <v>586</v>
      </c>
      <c r="AW22" s="49" t="s">
        <v>585</v>
      </c>
      <c r="AX22" s="49" t="s">
        <v>1394</v>
      </c>
      <c r="AY22" s="49" t="s">
        <v>1395</v>
      </c>
      <c r="AZ22" s="49" t="s">
        <v>623</v>
      </c>
      <c r="BA22" s="49" t="s">
        <v>624</v>
      </c>
      <c r="BB22" t="s">
        <v>1396</v>
      </c>
      <c r="BC22" t="s">
        <v>626</v>
      </c>
      <c r="BD22" t="s">
        <v>1397</v>
      </c>
      <c r="BE22" t="s">
        <v>1398</v>
      </c>
      <c r="BF22" t="s">
        <v>1401</v>
      </c>
      <c r="BG22" t="s">
        <v>1402</v>
      </c>
      <c r="BH22" t="s">
        <v>1399</v>
      </c>
      <c r="BI22" t="s">
        <v>1400</v>
      </c>
    </row>
    <row r="23" spans="1:61">
      <c r="A23" s="46" t="s">
        <v>1403</v>
      </c>
      <c r="B23" s="145" t="s">
        <v>1454</v>
      </c>
      <c r="C23" s="145" t="s">
        <v>1404</v>
      </c>
      <c r="D23" s="145" t="s">
        <v>1405</v>
      </c>
      <c r="E23" s="145" t="s">
        <v>1406</v>
      </c>
      <c r="F23" s="145" t="s">
        <v>1407</v>
      </c>
      <c r="G23" s="145" t="s">
        <v>1408</v>
      </c>
      <c r="H23" s="145" t="s">
        <v>1409</v>
      </c>
      <c r="I23" s="145" t="s">
        <v>1410</v>
      </c>
      <c r="J23" s="145" t="s">
        <v>1411</v>
      </c>
      <c r="K23" s="145" t="s">
        <v>1412</v>
      </c>
      <c r="L23" s="145" t="s">
        <v>1413</v>
      </c>
      <c r="M23" s="145" t="s">
        <v>1455</v>
      </c>
      <c r="N23" s="145" t="s">
        <v>1415</v>
      </c>
      <c r="O23" s="145" t="s">
        <v>1414</v>
      </c>
      <c r="P23" s="145" t="s">
        <v>1416</v>
      </c>
      <c r="Q23" s="145" t="s">
        <v>1417</v>
      </c>
      <c r="R23" s="145" t="s">
        <v>1418</v>
      </c>
      <c r="S23" s="145" t="s">
        <v>1419</v>
      </c>
      <c r="T23" s="145" t="s">
        <v>1420</v>
      </c>
      <c r="U23" s="145" t="s">
        <v>1421</v>
      </c>
      <c r="V23" s="145" t="s">
        <v>1422</v>
      </c>
      <c r="W23" s="145" t="s">
        <v>1423</v>
      </c>
      <c r="X23" s="145" t="s">
        <v>1424</v>
      </c>
      <c r="Y23" s="145" t="s">
        <v>1425</v>
      </c>
      <c r="Z23" s="145" t="s">
        <v>1426</v>
      </c>
      <c r="AA23" s="145" t="s">
        <v>1427</v>
      </c>
      <c r="AB23" s="145" t="s">
        <v>1428</v>
      </c>
      <c r="AC23" s="145" t="s">
        <v>1429</v>
      </c>
      <c r="AD23" s="145" t="s">
        <v>1430</v>
      </c>
      <c r="AE23" s="145" t="s">
        <v>1431</v>
      </c>
      <c r="AF23" s="145" t="s">
        <v>1432</v>
      </c>
      <c r="AG23" s="145" t="s">
        <v>1412</v>
      </c>
      <c r="AH23" s="145" t="s">
        <v>1433</v>
      </c>
      <c r="AI23" s="145" t="s">
        <v>1434</v>
      </c>
      <c r="AJ23" s="145" t="s">
        <v>1435</v>
      </c>
      <c r="AK23" s="145" t="s">
        <v>1436</v>
      </c>
      <c r="AL23" s="145" t="s">
        <v>1437</v>
      </c>
      <c r="AM23" s="145" t="s">
        <v>1438</v>
      </c>
      <c r="AN23" s="145" t="s">
        <v>1439</v>
      </c>
      <c r="AO23" s="145" t="s">
        <v>1456</v>
      </c>
      <c r="AP23" s="145" t="s">
        <v>1440</v>
      </c>
      <c r="AQ23" s="145" t="s">
        <v>1441</v>
      </c>
      <c r="AR23" s="145" t="s">
        <v>1457</v>
      </c>
      <c r="AS23" s="145" t="s">
        <v>1442</v>
      </c>
      <c r="AT23" s="145" t="s">
        <v>1443</v>
      </c>
      <c r="AU23" s="145" t="s">
        <v>1444</v>
      </c>
      <c r="AV23" s="145" t="s">
        <v>1458</v>
      </c>
      <c r="AW23" s="145" t="s">
        <v>1459</v>
      </c>
      <c r="AX23" s="145" t="s">
        <v>1445</v>
      </c>
      <c r="AY23" s="145" t="s">
        <v>1446</v>
      </c>
      <c r="AZ23" s="145" t="s">
        <v>1460</v>
      </c>
      <c r="BA23" s="145" t="s">
        <v>1447</v>
      </c>
      <c r="BB23" s="143" t="s">
        <v>1448</v>
      </c>
      <c r="BC23" s="143" t="s">
        <v>1449</v>
      </c>
      <c r="BD23" s="143" t="s">
        <v>1450</v>
      </c>
      <c r="BE23" s="144" t="s">
        <v>1451</v>
      </c>
      <c r="BF23" s="144" t="s">
        <v>1461</v>
      </c>
      <c r="BG23" s="143" t="s">
        <v>1462</v>
      </c>
      <c r="BH23" s="142" t="s">
        <v>1452</v>
      </c>
      <c r="BI23" s="142"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47"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s="142" t="s">
        <v>239</v>
      </c>
      <c r="BI25" s="142"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s="142" t="s">
        <v>239</v>
      </c>
      <c r="BI26" s="142" t="s">
        <v>242</v>
      </c>
    </row>
    <row r="27" spans="1:61">
      <c r="A27" t="s">
        <v>1625</v>
      </c>
      <c r="B27" s="142" t="s">
        <v>1635</v>
      </c>
      <c r="C27" s="142" t="s">
        <v>1636</v>
      </c>
      <c r="D27" s="142" t="s">
        <v>1637</v>
      </c>
      <c r="E27" s="142" t="s">
        <v>1638</v>
      </c>
      <c r="F27" s="142" t="s">
        <v>1639</v>
      </c>
      <c r="G27" s="142" t="s">
        <v>1640</v>
      </c>
      <c r="H27" s="142" t="s">
        <v>1641</v>
      </c>
      <c r="I27" s="142" t="s">
        <v>1642</v>
      </c>
      <c r="J27" s="142" t="s">
        <v>1643</v>
      </c>
      <c r="K27" s="142" t="s">
        <v>1644</v>
      </c>
      <c r="L27" s="142" t="s">
        <v>1645</v>
      </c>
      <c r="M27" s="142" t="s">
        <v>1646</v>
      </c>
      <c r="N27" s="142" t="s">
        <v>1647</v>
      </c>
      <c r="O27" s="142" t="s">
        <v>1648</v>
      </c>
      <c r="P27" s="142" t="s">
        <v>1649</v>
      </c>
      <c r="Q27" s="142" t="s">
        <v>1650</v>
      </c>
      <c r="R27" s="142" t="s">
        <v>1651</v>
      </c>
      <c r="S27" s="142" t="s">
        <v>1652</v>
      </c>
      <c r="T27" s="142" t="s">
        <v>1653</v>
      </c>
      <c r="U27" s="142" t="s">
        <v>1654</v>
      </c>
      <c r="V27" s="142" t="s">
        <v>1655</v>
      </c>
      <c r="W27" s="142" t="s">
        <v>1656</v>
      </c>
      <c r="X27" s="142" t="s">
        <v>1657</v>
      </c>
      <c r="Y27" s="142" t="s">
        <v>1658</v>
      </c>
      <c r="Z27" s="142" t="s">
        <v>1659</v>
      </c>
      <c r="AA27" s="142" t="s">
        <v>1660</v>
      </c>
      <c r="AB27" s="142" t="s">
        <v>1661</v>
      </c>
      <c r="AC27" s="142" t="s">
        <v>1662</v>
      </c>
      <c r="AD27" s="142" t="s">
        <v>1663</v>
      </c>
      <c r="AE27" s="142" t="s">
        <v>1664</v>
      </c>
      <c r="AF27" s="142" t="s">
        <v>1665</v>
      </c>
      <c r="AG27" s="142" t="s">
        <v>1666</v>
      </c>
      <c r="AH27" s="142" t="s">
        <v>1667</v>
      </c>
      <c r="AI27" s="142" t="s">
        <v>1668</v>
      </c>
      <c r="AJ27" s="142" t="s">
        <v>1669</v>
      </c>
      <c r="AK27" s="142" t="s">
        <v>1670</v>
      </c>
      <c r="AL27" s="142" t="s">
        <v>1671</v>
      </c>
      <c r="AM27" s="142" t="s">
        <v>1672</v>
      </c>
      <c r="AN27" s="142" t="s">
        <v>1673</v>
      </c>
      <c r="AO27" s="142" t="s">
        <v>1674</v>
      </c>
      <c r="AP27" s="142" t="s">
        <v>1675</v>
      </c>
      <c r="AQ27" s="142" t="s">
        <v>1676</v>
      </c>
      <c r="AR27" s="142" t="s">
        <v>1677</v>
      </c>
      <c r="AS27" s="142" t="s">
        <v>1678</v>
      </c>
      <c r="AT27" s="142" t="s">
        <v>1679</v>
      </c>
      <c r="AU27" s="142" t="s">
        <v>1680</v>
      </c>
      <c r="AV27" s="142" t="s">
        <v>1681</v>
      </c>
      <c r="AW27" s="142" t="s">
        <v>1665</v>
      </c>
      <c r="AX27" s="142" t="s">
        <v>1682</v>
      </c>
      <c r="AY27" s="142" t="s">
        <v>1683</v>
      </c>
      <c r="AZ27" s="142" t="s">
        <v>1684</v>
      </c>
      <c r="BA27" s="142" t="s">
        <v>1685</v>
      </c>
      <c r="BB27" t="s">
        <v>2073</v>
      </c>
      <c r="BC27" t="s">
        <v>2075</v>
      </c>
      <c r="BD27" t="s">
        <v>2074</v>
      </c>
      <c r="BE27" t="s">
        <v>2076</v>
      </c>
      <c r="BF27" t="s">
        <v>2077</v>
      </c>
      <c r="BG27" t="s">
        <v>2078</v>
      </c>
      <c r="BH27" s="142" t="s">
        <v>239</v>
      </c>
      <c r="BI27" s="142"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s="142" t="s">
        <v>239</v>
      </c>
      <c r="BI28" s="142"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s="142" t="s">
        <v>239</v>
      </c>
      <c r="BI29" s="142"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s="142" t="s">
        <v>2090</v>
      </c>
      <c r="BE30" t="s">
        <v>2087</v>
      </c>
      <c r="BF30" t="s">
        <v>2088</v>
      </c>
      <c r="BG30" t="s">
        <v>2089</v>
      </c>
      <c r="BH30" s="142" t="s">
        <v>239</v>
      </c>
      <c r="BI30" s="142"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s="142" t="s">
        <v>239</v>
      </c>
      <c r="BI31" s="142"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s="142" t="s">
        <v>239</v>
      </c>
      <c r="BI32" s="14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s="142" t="s">
        <v>239</v>
      </c>
      <c r="BI33" s="142"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s="142" t="s">
        <v>2112</v>
      </c>
      <c r="BG34" t="s">
        <v>2114</v>
      </c>
      <c r="BH34" s="142" t="s">
        <v>239</v>
      </c>
      <c r="BI34" s="142" t="s">
        <v>242</v>
      </c>
    </row>
    <row r="35" spans="1:61" ht="16.5">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s="142" t="s">
        <v>2116</v>
      </c>
      <c r="BD35" s="142" t="s">
        <v>2115</v>
      </c>
      <c r="BE35" s="150" t="s">
        <v>2117</v>
      </c>
      <c r="BF35" t="s">
        <v>2118</v>
      </c>
      <c r="BG35" t="s">
        <v>2119</v>
      </c>
      <c r="BH35" s="142" t="s">
        <v>239</v>
      </c>
      <c r="BI35" s="142"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s="142" t="s">
        <v>239</v>
      </c>
      <c r="BI36" s="142"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Admin</cp:lastModifiedBy>
  <dcterms:created xsi:type="dcterms:W3CDTF">2012-03-20T13:56:56Z</dcterms:created>
  <dcterms:modified xsi:type="dcterms:W3CDTF">2022-07-03T13:12:37Z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