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<sst xmlns="http://schemas.openxmlformats.org/spreadsheetml/2006/main" count="129" uniqueCount="97">
  <si>
    <t>Total</t>
  </si>
  <si>
    <t>Video_Games</t>
  </si>
  <si>
    <t>Sports_and_Outdoors</t>
  </si>
  <si>
    <t>Office_Products</t>
  </si>
  <si>
    <t>Movies_and_TV</t>
  </si>
  <si>
    <t>Electronics</t>
  </si>
  <si>
    <t>Clothing_Shoes_and_Jewelry</t>
  </si>
  <si>
    <t>Beauty</t>
  </si>
  <si>
    <t>Number of Reviews</t>
  </si>
  <si>
    <t>Amount/Ratio of Scores</t>
  </si>
  <si>
    <t>Amount/Ratio of Sentiment</t>
  </si>
  <si>
    <t>General Distribution</t>
  </si>
  <si>
    <t>Mean</t>
  </si>
  <si>
    <t>Median</t>
  </si>
  <si>
    <t>Mode</t>
  </si>
  <si>
    <t>Rating vs Sentiment Matrix</t>
  </si>
  <si>
    <t>🠖 Score</t>
  </si>
  <si>
    <t>🠗 Sentiment</t>
  </si>
  <si>
    <t>83      26      26      17      23</t>
  </si>
  <si>
    <t>659     237     198     136     225</t>
  </si>
  <si>
    <t>2578    1563    2214    2881    6023</t>
  </si>
  <si>
    <t>587     744     2867    8326    23258</t>
  </si>
  <si>
    <t>89      68      415     1752    7567</t>
  </si>
  <si>
    <t>4       0       1       2       1</t>
  </si>
  <si>
    <t>27      14      5       6       10</t>
  </si>
  <si>
    <t>84      38      51      93      258</t>
  </si>
  <si>
    <t>15      10      38      246     1329</t>
  </si>
  <si>
    <t>4       2       9       121     889</t>
  </si>
  <si>
    <t>1       0       0       1       0</t>
  </si>
  <si>
    <t>14      4       3       1       4</t>
  </si>
  <si>
    <t>60      15      25      37      122</t>
  </si>
  <si>
    <t>10      9       14      85      459</t>
  </si>
  <si>
    <t>3       0       1       25      195</t>
  </si>
  <si>
    <t>0       0       1       0       0</t>
  </si>
  <si>
    <t>10      5       2       2       5</t>
  </si>
  <si>
    <t>30      16      15      34      157</t>
  </si>
  <si>
    <t>5       5       12      113     820</t>
  </si>
  <si>
    <t>0       0       3       15      176</t>
  </si>
  <si>
    <t>4       0       1       1       0</t>
  </si>
  <si>
    <t>10      2       5       8       13</t>
  </si>
  <si>
    <t>25      9       20      49      225</t>
  </si>
  <si>
    <t>9       6       28      123     1073</t>
  </si>
  <si>
    <t>2       1       6       62      731</t>
  </si>
  <si>
    <t>47      9       8       4       5</t>
  </si>
  <si>
    <t>255     56      48      46      58</t>
  </si>
  <si>
    <t>872     357     400     702     1415</t>
  </si>
  <si>
    <t>123     86      196     1114    4663</t>
  </si>
  <si>
    <t>24      10      33      252     1494</t>
  </si>
  <si>
    <t>2       0       2       0       3</t>
  </si>
  <si>
    <t>45      26      20      3       12</t>
  </si>
  <si>
    <t>220     127     163     148     309</t>
  </si>
  <si>
    <t>43      38      100     369     1576</t>
  </si>
  <si>
    <t>7       2       20      89      571</t>
  </si>
  <si>
    <t>25      17      13      9       14</t>
  </si>
  <si>
    <t>298     130     115     70      123</t>
  </si>
  <si>
    <t>1287    1001    1540    1818    3537</t>
  </si>
  <si>
    <t>382     590     2479    6276    13338</t>
  </si>
  <si>
    <t>49      53      343     1188    3511</t>
  </si>
  <si>
    <t>Graphs</t>
  </si>
  <si>
    <t xml:space="preserve"> Walmart Data Analysis Graphs will be located in another excel sheet.</t>
  </si>
  <si>
    <t>Sentiment</t>
  </si>
  <si>
    <t>Estimated Score</t>
  </si>
  <si>
    <t>-1 to -0.525</t>
  </si>
  <si>
    <t>-1 to -0.2</t>
  </si>
  <si>
    <t>-0.525 to -0.05</t>
  </si>
  <si>
    <t>-0.2 to -0.05</t>
  </si>
  <si>
    <t>-0.05 to 0.05</t>
  </si>
  <si>
    <t>0.05 to 0.525</t>
  </si>
  <si>
    <t>0.05 to 0.2</t>
  </si>
  <si>
    <t>-0.2 to 0.2</t>
  </si>
  <si>
    <t>0.525 to 1</t>
  </si>
  <si>
    <t>0.2 to 1</t>
  </si>
  <si>
    <t>-1 to -0.15</t>
  </si>
  <si>
    <t>-1 to -0.25</t>
  </si>
  <si>
    <t>-0.15 to -0.05</t>
  </si>
  <si>
    <t>-0.25 to -0.05</t>
  </si>
  <si>
    <t>0.05 to 0.15</t>
  </si>
  <si>
    <t>0.05 to 0.25</t>
  </si>
  <si>
    <t>0.15 to 1</t>
  </si>
  <si>
    <t>0.25 to 1</t>
  </si>
  <si>
    <t>-1 to -0.6</t>
  </si>
  <si>
    <t>-0.6 to -0.2</t>
  </si>
  <si>
    <t>LINEAR SCALE</t>
  </si>
  <si>
    <t xml:space="preserve">FROM GRAPH </t>
  </si>
  <si>
    <t>0.2 to 0.6</t>
  </si>
  <si>
    <t>&lt;---------</t>
  </si>
  <si>
    <t>0.6 to 1</t>
  </si>
  <si>
    <t>Ryan</t>
  </si>
  <si>
    <t>Purple</t>
  </si>
  <si>
    <t>Yellow</t>
  </si>
  <si>
    <t>Red</t>
  </si>
  <si>
    <t>Sean</t>
  </si>
  <si>
    <t>Purpe</t>
  </si>
  <si>
    <t>Peter</t>
  </si>
  <si>
    <t>Blue</t>
  </si>
  <si>
    <t>Siyao</t>
  </si>
  <si>
    <t xml:space="preserve">Purple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</si>
</sst>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Font="1"/>
    <xf borderId="0" fillId="0" fontId="3" numFmtId="0" xfId="0" applyFont="1"/>
    <xf borderId="0" fillId="2" fontId="2" numFmtId="0" xfId="0" applyAlignment="1" applyFill="1" applyFont="1">
      <alignment readingOrder="0"/>
    </xf>
    <xf borderId="0" fillId="2" fontId="2" numFmtId="10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2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4" max="4" width="20.71"/>
    <col customWidth="1" min="5" max="5" width="15.43"/>
    <col customWidth="1" min="6" max="6" width="20.71"/>
    <col customWidth="1" min="7" max="7" width="13.29"/>
    <col customWidth="1" min="8" max="8" width="1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 t="s">
        <v>8</v>
      </c>
      <c r="B2" s="4">
        <v>62562.0</v>
      </c>
      <c r="C2" s="4">
        <v>3257.0</v>
      </c>
      <c r="D2" s="4">
        <v>1088.0</v>
      </c>
      <c r="E2" s="4">
        <v>1426.0</v>
      </c>
      <c r="F2" s="4">
        <v>2413.0</v>
      </c>
      <c r="G2" s="4">
        <v>12277.0</v>
      </c>
      <c r="H2" s="4">
        <v>3895.0</v>
      </c>
      <c r="I2" s="4">
        <v>38206.0</v>
      </c>
    </row>
    <row r="3">
      <c r="A3" s="5"/>
    </row>
    <row r="4">
      <c r="A4" s="3" t="s">
        <v>9</v>
      </c>
    </row>
    <row r="5">
      <c r="A5" s="6">
        <v>1.0</v>
      </c>
      <c r="B5" s="5" t="str">
        <f t="shared" ref="B5:I5" si="1">ROUNDUP((K5/B$2),4)*100&amp;"%"</f>
        <v>6.39%</v>
      </c>
      <c r="C5" s="5" t="str">
        <f t="shared" si="1"/>
        <v>4.12%</v>
      </c>
      <c r="D5" s="5" t="str">
        <f t="shared" si="1"/>
        <v>8.09%</v>
      </c>
      <c r="E5" s="5" t="str">
        <f t="shared" si="1"/>
        <v>3.16%</v>
      </c>
      <c r="F5" s="5" t="str">
        <f t="shared" si="1"/>
        <v>2.08%</v>
      </c>
      <c r="G5" s="5" t="str">
        <f t="shared" si="1"/>
        <v>10.76%</v>
      </c>
      <c r="H5" s="5" t="str">
        <f t="shared" si="1"/>
        <v>8.14%</v>
      </c>
      <c r="I5" s="5" t="str">
        <f t="shared" si="1"/>
        <v>5.35%</v>
      </c>
      <c r="K5" s="4">
        <v>3996.0</v>
      </c>
      <c r="L5" s="4">
        <v>134.0</v>
      </c>
      <c r="M5" s="4">
        <v>88.0</v>
      </c>
      <c r="N5" s="4">
        <v>45.0</v>
      </c>
      <c r="O5" s="4">
        <v>50.0</v>
      </c>
      <c r="P5" s="4">
        <v>1321.0</v>
      </c>
      <c r="Q5" s="4">
        <v>317.0</v>
      </c>
      <c r="R5" s="4">
        <v>2041.0</v>
      </c>
    </row>
    <row r="6">
      <c r="A6" s="6">
        <v>2.0</v>
      </c>
      <c r="B6" s="5" t="str">
        <f t="shared" ref="B6:I6" si="2">ROUNDUP((K6/B$2),4)*100&amp;"%"</f>
        <v>4.22%</v>
      </c>
      <c r="C6" s="5" t="str">
        <f t="shared" si="2"/>
        <v>1.97%</v>
      </c>
      <c r="D6" s="5" t="str">
        <f t="shared" si="2"/>
        <v>2.58%</v>
      </c>
      <c r="E6" s="5" t="str">
        <f t="shared" si="2"/>
        <v>1.83%</v>
      </c>
      <c r="F6" s="5" t="str">
        <f t="shared" si="2"/>
        <v>0.75%</v>
      </c>
      <c r="G6" s="5" t="str">
        <f t="shared" si="2"/>
        <v>4.22%</v>
      </c>
      <c r="H6" s="5" t="str">
        <f t="shared" si="2"/>
        <v>4.96%</v>
      </c>
      <c r="I6" s="5" t="str">
        <f t="shared" si="2"/>
        <v>4.69%</v>
      </c>
      <c r="K6" s="4">
        <v>2638.0</v>
      </c>
      <c r="L6" s="4">
        <v>64.0</v>
      </c>
      <c r="M6" s="4">
        <v>28.0</v>
      </c>
      <c r="N6" s="4">
        <v>26.0</v>
      </c>
      <c r="O6" s="4">
        <v>18.0</v>
      </c>
      <c r="P6" s="4">
        <v>518.0</v>
      </c>
      <c r="Q6" s="4">
        <v>193.0</v>
      </c>
      <c r="R6" s="4">
        <v>1791.0</v>
      </c>
    </row>
    <row r="7">
      <c r="A7" s="6">
        <v>3.0</v>
      </c>
      <c r="B7" s="5" t="str">
        <f t="shared" ref="B7:I7" si="3">ROUNDUP((K7/B$2),4)*100&amp;"%"</f>
        <v>9.15%</v>
      </c>
      <c r="C7" s="5" t="str">
        <f t="shared" si="3"/>
        <v>3.2%</v>
      </c>
      <c r="D7" s="5" t="str">
        <f t="shared" si="3"/>
        <v>3.96%</v>
      </c>
      <c r="E7" s="5" t="str">
        <f t="shared" si="3"/>
        <v>2.32%</v>
      </c>
      <c r="F7" s="5" t="str">
        <f t="shared" si="3"/>
        <v>2.49%</v>
      </c>
      <c r="G7" s="5" t="str">
        <f t="shared" si="3"/>
        <v>5.58%</v>
      </c>
      <c r="H7" s="5" t="str">
        <f t="shared" si="3"/>
        <v>7.84%</v>
      </c>
      <c r="I7" s="5" t="str">
        <f t="shared" si="3"/>
        <v>11.76%</v>
      </c>
      <c r="K7" s="4">
        <v>5720.0</v>
      </c>
      <c r="L7" s="4">
        <v>104.0</v>
      </c>
      <c r="M7" s="4">
        <v>43.0</v>
      </c>
      <c r="N7" s="4">
        <v>33.0</v>
      </c>
      <c r="O7" s="4">
        <v>60.0</v>
      </c>
      <c r="P7" s="4">
        <v>685.0</v>
      </c>
      <c r="Q7" s="4">
        <v>305.0</v>
      </c>
      <c r="R7" s="4">
        <v>4490.0</v>
      </c>
    </row>
    <row r="8">
      <c r="A8" s="6">
        <v>4.0</v>
      </c>
      <c r="B8" s="5" t="str">
        <f t="shared" ref="B8:I8" si="4">ROUNDUP((K8/B$2),4)*100&amp;"%"</f>
        <v>20.96%</v>
      </c>
      <c r="C8" s="5" t="str">
        <f t="shared" si="4"/>
        <v>14.37%</v>
      </c>
      <c r="D8" s="5" t="str">
        <f t="shared" si="4"/>
        <v>13.7%</v>
      </c>
      <c r="E8" s="5" t="str">
        <f t="shared" si="4"/>
        <v>11.51%</v>
      </c>
      <c r="F8" s="5" t="str">
        <f t="shared" si="4"/>
        <v>10.08%</v>
      </c>
      <c r="G8" s="5" t="str">
        <f t="shared" si="4"/>
        <v>17.26%</v>
      </c>
      <c r="H8" s="5" t="str">
        <f t="shared" si="4"/>
        <v>15.64%</v>
      </c>
      <c r="I8" s="5" t="str">
        <f t="shared" si="4"/>
        <v>24.51%</v>
      </c>
      <c r="K8" s="4">
        <v>13112.0</v>
      </c>
      <c r="L8" s="4">
        <v>468.0</v>
      </c>
      <c r="M8" s="4">
        <v>149.0</v>
      </c>
      <c r="N8" s="4">
        <v>164.0</v>
      </c>
      <c r="O8" s="4">
        <v>243.0</v>
      </c>
      <c r="P8" s="4">
        <v>2118.0</v>
      </c>
      <c r="Q8" s="4">
        <v>609.0</v>
      </c>
      <c r="R8" s="4">
        <v>9361.0</v>
      </c>
    </row>
    <row r="9">
      <c r="A9" s="6">
        <v>5.0</v>
      </c>
      <c r="B9" s="5" t="str">
        <f t="shared" ref="B9:I9" si="5">ROUNDUP((K9/B$2),4)*100&amp;"%"</f>
        <v>59.3%</v>
      </c>
      <c r="C9" s="5" t="str">
        <f t="shared" si="5"/>
        <v>76.36%</v>
      </c>
      <c r="D9" s="5" t="str">
        <f t="shared" si="5"/>
        <v>71.7%</v>
      </c>
      <c r="E9" s="5" t="str">
        <f t="shared" si="5"/>
        <v>81.21%</v>
      </c>
      <c r="F9" s="5" t="str">
        <f t="shared" si="5"/>
        <v>84.63%</v>
      </c>
      <c r="G9" s="5" t="str">
        <f t="shared" si="5"/>
        <v>62.19%</v>
      </c>
      <c r="H9" s="5" t="str">
        <f t="shared" si="5"/>
        <v>63.45%</v>
      </c>
      <c r="I9" s="5" t="str">
        <f t="shared" si="5"/>
        <v>53.72%</v>
      </c>
      <c r="K9" s="4">
        <v>37096.0</v>
      </c>
      <c r="L9" s="4">
        <v>2487.0</v>
      </c>
      <c r="M9" s="4">
        <v>780.0</v>
      </c>
      <c r="N9" s="4">
        <v>1158.0</v>
      </c>
      <c r="O9" s="4">
        <v>2042.0</v>
      </c>
      <c r="P9" s="4">
        <v>7635.0</v>
      </c>
      <c r="Q9" s="4">
        <v>2471.0</v>
      </c>
      <c r="R9" s="4">
        <v>20523.0</v>
      </c>
    </row>
    <row r="10">
      <c r="A10" s="5"/>
    </row>
    <row r="11">
      <c r="A11" s="3" t="s">
        <v>10</v>
      </c>
    </row>
    <row r="12">
      <c r="A12" s="6">
        <v>1.0</v>
      </c>
      <c r="B12" s="5" t="str">
        <f t="shared" ref="B12:I12" si="6">ROUNDUP((K12/B$2),4)*100&amp;"%"</f>
        <v>0.28%</v>
      </c>
      <c r="C12" s="5" t="str">
        <f t="shared" si="6"/>
        <v>0.25%</v>
      </c>
      <c r="D12" s="5" t="str">
        <f t="shared" si="6"/>
        <v>0.19%</v>
      </c>
      <c r="E12" s="5" t="str">
        <f t="shared" si="6"/>
        <v>0.08%</v>
      </c>
      <c r="F12" s="5" t="str">
        <f t="shared" si="6"/>
        <v>0.25%</v>
      </c>
      <c r="G12" s="5" t="str">
        <f t="shared" si="6"/>
        <v>0.6%</v>
      </c>
      <c r="H12" s="5" t="str">
        <f t="shared" si="6"/>
        <v>0.18%</v>
      </c>
      <c r="I12" s="5" t="str">
        <f t="shared" si="6"/>
        <v>0.21%</v>
      </c>
      <c r="K12" s="4">
        <v>175.0</v>
      </c>
      <c r="L12" s="4">
        <v>8.0</v>
      </c>
      <c r="M12" s="4">
        <v>2.0</v>
      </c>
      <c r="N12" s="4">
        <v>1.0</v>
      </c>
      <c r="O12" s="4">
        <v>6.0</v>
      </c>
      <c r="P12" s="4">
        <v>73.0</v>
      </c>
      <c r="Q12" s="4">
        <v>7.0</v>
      </c>
      <c r="R12" s="4">
        <v>78.0</v>
      </c>
    </row>
    <row r="13">
      <c r="A13" s="6">
        <v>2.0</v>
      </c>
      <c r="B13" s="5" t="str">
        <f t="shared" ref="B13:I13" si="7">ROUNDUP((K13/B$2),4)*100&amp;"%"</f>
        <v>2.33%</v>
      </c>
      <c r="C13" s="5" t="str">
        <f t="shared" si="7"/>
        <v>1.91%</v>
      </c>
      <c r="D13" s="5" t="str">
        <f t="shared" si="7"/>
        <v>2.39%</v>
      </c>
      <c r="E13" s="5" t="str">
        <f t="shared" si="7"/>
        <v>1.69%</v>
      </c>
      <c r="F13" s="5" t="str">
        <f t="shared" si="7"/>
        <v>1.58%</v>
      </c>
      <c r="G13" s="5" t="str">
        <f t="shared" si="7"/>
        <v>3.78%</v>
      </c>
      <c r="H13" s="5" t="str">
        <f t="shared" si="7"/>
        <v>2.73%</v>
      </c>
      <c r="I13" s="5" t="str">
        <f t="shared" si="7"/>
        <v>1.93%</v>
      </c>
      <c r="K13" s="4">
        <v>1455.0</v>
      </c>
      <c r="L13" s="4">
        <v>62.0</v>
      </c>
      <c r="M13" s="4">
        <v>26.0</v>
      </c>
      <c r="N13" s="4">
        <v>24.0</v>
      </c>
      <c r="O13" s="4">
        <v>38.0</v>
      </c>
      <c r="P13" s="4">
        <v>463.0</v>
      </c>
      <c r="Q13" s="4">
        <v>106.0</v>
      </c>
      <c r="R13" s="4">
        <v>736.0</v>
      </c>
    </row>
    <row r="14">
      <c r="A14" s="6">
        <v>3.0</v>
      </c>
      <c r="B14" s="5" t="str">
        <f t="shared" ref="B14:I14" si="8">ROUNDUP((K14/B$2),4)*100&amp;"%"</f>
        <v>24.4%</v>
      </c>
      <c r="C14" s="5" t="str">
        <f t="shared" si="8"/>
        <v>16.09%</v>
      </c>
      <c r="D14" s="5" t="str">
        <f t="shared" si="8"/>
        <v>23.81%</v>
      </c>
      <c r="E14" s="5" t="str">
        <f t="shared" si="8"/>
        <v>17.68%</v>
      </c>
      <c r="F14" s="5" t="str">
        <f t="shared" si="8"/>
        <v>13.6%</v>
      </c>
      <c r="G14" s="5" t="str">
        <f t="shared" si="8"/>
        <v>30.52%</v>
      </c>
      <c r="H14" s="5" t="str">
        <f t="shared" si="8"/>
        <v>24.83%</v>
      </c>
      <c r="I14" s="5" t="str">
        <f t="shared" si="8"/>
        <v>24.04%</v>
      </c>
      <c r="K14" s="4">
        <v>15259.0</v>
      </c>
      <c r="L14" s="4">
        <v>524.0</v>
      </c>
      <c r="M14" s="4">
        <v>259.0</v>
      </c>
      <c r="N14" s="4">
        <v>252.0</v>
      </c>
      <c r="O14" s="4">
        <v>328.0</v>
      </c>
      <c r="P14" s="4">
        <v>3746.0</v>
      </c>
      <c r="Q14" s="4">
        <v>967.0</v>
      </c>
      <c r="R14" s="4">
        <v>9183.0</v>
      </c>
    </row>
    <row r="15">
      <c r="A15" s="6">
        <v>4.0</v>
      </c>
      <c r="B15" s="5" t="str">
        <f t="shared" ref="B15:I15" si="9">ROUNDUP((K15/B$2),4)*100&amp;"%"</f>
        <v>57.2%</v>
      </c>
      <c r="C15" s="5" t="str">
        <f t="shared" si="9"/>
        <v>50.3%</v>
      </c>
      <c r="D15" s="5" t="str">
        <f t="shared" si="9"/>
        <v>53.04%</v>
      </c>
      <c r="E15" s="5" t="str">
        <f t="shared" si="9"/>
        <v>66.98%</v>
      </c>
      <c r="F15" s="5" t="str">
        <f t="shared" si="9"/>
        <v>51.35%</v>
      </c>
      <c r="G15" s="5" t="str">
        <f t="shared" si="9"/>
        <v>50.36%</v>
      </c>
      <c r="H15" s="5" t="str">
        <f t="shared" si="9"/>
        <v>54.59%</v>
      </c>
      <c r="I15" s="5" t="str">
        <f t="shared" si="9"/>
        <v>60.38%</v>
      </c>
      <c r="K15" s="4">
        <v>35782.0</v>
      </c>
      <c r="L15" s="4">
        <v>1638.0</v>
      </c>
      <c r="M15" s="4">
        <v>577.0</v>
      </c>
      <c r="N15" s="4">
        <v>955.0</v>
      </c>
      <c r="O15" s="4">
        <v>1239.0</v>
      </c>
      <c r="P15" s="4">
        <v>6182.0</v>
      </c>
      <c r="Q15" s="4">
        <v>2126.0</v>
      </c>
      <c r="R15" s="4">
        <v>23065.0</v>
      </c>
    </row>
    <row r="16">
      <c r="A16" s="6">
        <v>5.0</v>
      </c>
      <c r="B16" s="5" t="str">
        <f t="shared" ref="B16:I16" si="10">ROUNDUP((K16/B$2),4)*100&amp;"%"</f>
        <v>15.81%</v>
      </c>
      <c r="C16" s="5" t="str">
        <f t="shared" si="10"/>
        <v>31.48%</v>
      </c>
      <c r="D16" s="5" t="str">
        <f t="shared" si="10"/>
        <v>20.59%</v>
      </c>
      <c r="E16" s="5" t="str">
        <f t="shared" si="10"/>
        <v>13.61%</v>
      </c>
      <c r="F16" s="5" t="str">
        <f t="shared" si="10"/>
        <v>33.24%</v>
      </c>
      <c r="G16" s="5" t="str">
        <f t="shared" si="10"/>
        <v>14.77%</v>
      </c>
      <c r="H16" s="5" t="str">
        <f t="shared" si="10"/>
        <v>17.69%</v>
      </c>
      <c r="I16" s="5" t="str">
        <f t="shared" si="10"/>
        <v>13.47%</v>
      </c>
      <c r="K16" s="4">
        <v>9891.0</v>
      </c>
      <c r="L16" s="4">
        <v>1025.0</v>
      </c>
      <c r="M16" s="4">
        <v>224.0</v>
      </c>
      <c r="N16" s="4">
        <v>194.0</v>
      </c>
      <c r="O16" s="4">
        <v>802.0</v>
      </c>
      <c r="P16" s="4">
        <v>1813.0</v>
      </c>
      <c r="Q16" s="4">
        <v>689.0</v>
      </c>
      <c r="R16" s="4">
        <v>5144.0</v>
      </c>
    </row>
    <row r="17">
      <c r="A17" s="5"/>
    </row>
    <row r="18">
      <c r="A18" s="3" t="s">
        <v>11</v>
      </c>
    </row>
    <row r="19">
      <c r="A19" s="6">
        <v>1.0</v>
      </c>
      <c r="B19" s="4">
        <f t="shared" ref="B19:I19" si="11">K5</f>
        <v>3996</v>
      </c>
      <c r="C19" s="4">
        <f t="shared" si="11"/>
        <v>134</v>
      </c>
      <c r="D19" s="4">
        <f t="shared" si="11"/>
        <v>88</v>
      </c>
      <c r="E19" s="4">
        <f t="shared" si="11"/>
        <v>45</v>
      </c>
      <c r="F19" s="4">
        <f t="shared" si="11"/>
        <v>50</v>
      </c>
      <c r="G19" s="4">
        <f t="shared" si="11"/>
        <v>1321</v>
      </c>
      <c r="H19" s="4">
        <f t="shared" si="11"/>
        <v>317</v>
      </c>
      <c r="I19" s="4">
        <f t="shared" si="11"/>
        <v>2041</v>
      </c>
      <c r="K19" s="7"/>
      <c r="L19" s="7"/>
      <c r="M19" s="7"/>
      <c r="N19" s="7"/>
      <c r="O19" s="7"/>
      <c r="P19" s="7"/>
      <c r="Q19" s="7"/>
      <c r="R19" s="7"/>
    </row>
    <row r="20">
      <c r="A20" s="6">
        <v>2.0</v>
      </c>
      <c r="B20" s="4">
        <f t="shared" ref="B20:I20" si="12">K6</f>
        <v>2638</v>
      </c>
      <c r="C20" s="4">
        <f t="shared" si="12"/>
        <v>64</v>
      </c>
      <c r="D20" s="4">
        <f t="shared" si="12"/>
        <v>28</v>
      </c>
      <c r="E20" s="4">
        <f t="shared" si="12"/>
        <v>26</v>
      </c>
      <c r="F20" s="4">
        <f t="shared" si="12"/>
        <v>18</v>
      </c>
      <c r="G20" s="4">
        <f t="shared" si="12"/>
        <v>518</v>
      </c>
      <c r="H20" s="4">
        <f t="shared" si="12"/>
        <v>193</v>
      </c>
      <c r="I20" s="4">
        <f t="shared" si="12"/>
        <v>1791</v>
      </c>
      <c r="K20" s="7"/>
      <c r="L20" s="7"/>
      <c r="M20" s="7"/>
      <c r="N20" s="7"/>
      <c r="O20" s="7"/>
      <c r="P20" s="7"/>
      <c r="Q20" s="7"/>
      <c r="R20" s="7"/>
    </row>
    <row r="21">
      <c r="A21" s="6">
        <v>3.0</v>
      </c>
      <c r="B21" s="4">
        <f t="shared" ref="B21:I21" si="13">K7</f>
        <v>5720</v>
      </c>
      <c r="C21" s="4">
        <f t="shared" si="13"/>
        <v>104</v>
      </c>
      <c r="D21" s="4">
        <f t="shared" si="13"/>
        <v>43</v>
      </c>
      <c r="E21" s="4">
        <f t="shared" si="13"/>
        <v>33</v>
      </c>
      <c r="F21" s="4">
        <f t="shared" si="13"/>
        <v>60</v>
      </c>
      <c r="G21" s="4">
        <f t="shared" si="13"/>
        <v>685</v>
      </c>
      <c r="H21" s="4">
        <f t="shared" si="13"/>
        <v>305</v>
      </c>
      <c r="I21" s="4">
        <f t="shared" si="13"/>
        <v>4490</v>
      </c>
      <c r="K21" s="7"/>
      <c r="L21" s="7"/>
      <c r="M21" s="7"/>
      <c r="N21" s="7"/>
      <c r="O21" s="7"/>
      <c r="P21" s="7"/>
      <c r="Q21" s="7"/>
      <c r="R21" s="7"/>
    </row>
    <row r="22">
      <c r="A22" s="6">
        <v>4.0</v>
      </c>
      <c r="B22" s="4">
        <f t="shared" ref="B22:I22" si="14">K8</f>
        <v>13112</v>
      </c>
      <c r="C22" s="4">
        <f t="shared" si="14"/>
        <v>468</v>
      </c>
      <c r="D22" s="4">
        <f t="shared" si="14"/>
        <v>149</v>
      </c>
      <c r="E22" s="4">
        <f t="shared" si="14"/>
        <v>164</v>
      </c>
      <c r="F22" s="4">
        <f t="shared" si="14"/>
        <v>243</v>
      </c>
      <c r="G22" s="4">
        <f t="shared" si="14"/>
        <v>2118</v>
      </c>
      <c r="H22" s="4">
        <f t="shared" si="14"/>
        <v>609</v>
      </c>
      <c r="I22" s="4">
        <f t="shared" si="14"/>
        <v>9361</v>
      </c>
      <c r="K22" s="7"/>
      <c r="L22" s="7"/>
      <c r="M22" s="7"/>
      <c r="N22" s="7"/>
      <c r="O22" s="7"/>
      <c r="P22" s="7"/>
      <c r="Q22" s="7"/>
      <c r="R22" s="7"/>
    </row>
    <row r="23">
      <c r="A23" s="6">
        <v>5.0</v>
      </c>
      <c r="B23" s="4">
        <f t="shared" ref="B23:I23" si="15">K9</f>
        <v>37096</v>
      </c>
      <c r="C23" s="4">
        <f t="shared" si="15"/>
        <v>2487</v>
      </c>
      <c r="D23" s="4">
        <f t="shared" si="15"/>
        <v>780</v>
      </c>
      <c r="E23" s="4">
        <f t="shared" si="15"/>
        <v>1158</v>
      </c>
      <c r="F23" s="4">
        <f t="shared" si="15"/>
        <v>2042</v>
      </c>
      <c r="G23" s="4">
        <f t="shared" si="15"/>
        <v>7635</v>
      </c>
      <c r="H23" s="4">
        <f t="shared" si="15"/>
        <v>2471</v>
      </c>
      <c r="I23" s="4">
        <f t="shared" si="15"/>
        <v>20523</v>
      </c>
      <c r="K23" s="7"/>
      <c r="L23" s="7"/>
      <c r="M23" s="7"/>
      <c r="N23" s="7"/>
      <c r="O23" s="7"/>
      <c r="P23" s="7"/>
      <c r="Q23" s="7"/>
      <c r="R23" s="7"/>
    </row>
    <row r="24">
      <c r="A24" s="6" t="s">
        <v>12</v>
      </c>
      <c r="B24" s="4">
        <f t="shared" ref="B24:I24" si="16">ROUNDUP(((B19/B2*$A$19)+(B20/B2*$A$20)+(B21/B2*$A$21)+(B22/B2*$A$22)+(B23/B2*$A$23)), 2)</f>
        <v>4.23</v>
      </c>
      <c r="C24" s="4">
        <f t="shared" si="16"/>
        <v>4.57</v>
      </c>
      <c r="D24" s="4">
        <f t="shared" si="16"/>
        <v>4.39</v>
      </c>
      <c r="E24" s="4">
        <f t="shared" si="16"/>
        <v>4.66</v>
      </c>
      <c r="F24" s="4">
        <f t="shared" si="16"/>
        <v>4.75</v>
      </c>
      <c r="G24" s="4">
        <f t="shared" si="16"/>
        <v>4.16</v>
      </c>
      <c r="H24" s="4">
        <f t="shared" si="16"/>
        <v>4.22</v>
      </c>
      <c r="I24" s="4">
        <f t="shared" si="16"/>
        <v>4.17</v>
      </c>
    </row>
    <row r="25">
      <c r="A25" s="6" t="s">
        <v>13</v>
      </c>
      <c r="B25" s="4">
        <v>5.0</v>
      </c>
      <c r="C25" s="4">
        <v>5.0</v>
      </c>
      <c r="D25" s="4">
        <v>5.0</v>
      </c>
      <c r="E25" s="4">
        <v>5.0</v>
      </c>
      <c r="F25" s="4">
        <v>5.0</v>
      </c>
      <c r="G25" s="4">
        <v>5.0</v>
      </c>
      <c r="H25" s="4">
        <v>5.0</v>
      </c>
      <c r="I25" s="4">
        <v>5.0</v>
      </c>
    </row>
    <row r="26">
      <c r="A26" s="6" t="s">
        <v>14</v>
      </c>
      <c r="B26" s="4">
        <v>5.0</v>
      </c>
      <c r="C26" s="4">
        <v>5.0</v>
      </c>
      <c r="D26" s="4">
        <v>5.0</v>
      </c>
      <c r="E26" s="4">
        <v>5.0</v>
      </c>
      <c r="F26" s="4">
        <v>5.0</v>
      </c>
      <c r="G26" s="4">
        <v>5.0</v>
      </c>
      <c r="H26" s="4">
        <v>5.0</v>
      </c>
      <c r="I26" s="4">
        <v>5.0</v>
      </c>
    </row>
    <row r="27">
      <c r="A27" s="5"/>
    </row>
    <row r="28">
      <c r="A28" s="5"/>
    </row>
    <row r="29">
      <c r="A29" s="3" t="s">
        <v>15</v>
      </c>
      <c r="F29" s="2"/>
      <c r="H29" s="2"/>
      <c r="J29" s="2"/>
      <c r="L29" s="2"/>
      <c r="N29" s="2"/>
      <c r="P29" s="2"/>
    </row>
    <row r="30">
      <c r="C30" s="2" t="s">
        <v>0</v>
      </c>
    </row>
    <row r="31">
      <c r="A31" s="8" t="s">
        <v>16</v>
      </c>
      <c r="C31" s="2">
        <v>1.0</v>
      </c>
      <c r="D31" s="2">
        <v>2.0</v>
      </c>
      <c r="E31" s="2">
        <v>3.0</v>
      </c>
      <c r="F31" s="2">
        <v>4.0</v>
      </c>
      <c r="G31" s="2">
        <v>5.0</v>
      </c>
    </row>
    <row r="32">
      <c r="A32" s="8" t="s">
        <v>17</v>
      </c>
      <c r="B32" s="2">
        <v>1.0</v>
      </c>
      <c r="C32" s="4">
        <f>IFERROR(__xludf.DUMMYFUNCTION("SPLIT(K32, ""      "")"),83.0)</f>
        <v>83</v>
      </c>
      <c r="D32" s="9">
        <f>IFERROR(__xludf.DUMMYFUNCTION("""COMPUTED_VALUE"""),26.0)</f>
        <v>26</v>
      </c>
      <c r="E32" s="9">
        <f>IFERROR(__xludf.DUMMYFUNCTION("""COMPUTED_VALUE"""),26.0)</f>
        <v>26</v>
      </c>
      <c r="F32" s="9">
        <f>IFERROR(__xludf.DUMMYFUNCTION("""COMPUTED_VALUE"""),17.0)</f>
        <v>17</v>
      </c>
      <c r="G32" s="9">
        <f>IFERROR(__xludf.DUMMYFUNCTION("""COMPUTED_VALUE"""),23.0)</f>
        <v>23</v>
      </c>
      <c r="K32" s="4" t="s">
        <v>18</v>
      </c>
    </row>
    <row r="33">
      <c r="A33" s="10"/>
      <c r="B33" s="2">
        <v>2.0</v>
      </c>
      <c r="C33" s="4">
        <f>IFERROR(__xludf.DUMMYFUNCTION("SPLIT(K33, ""      "")"),659.0)</f>
        <v>659</v>
      </c>
      <c r="D33" s="9">
        <f>IFERROR(__xludf.DUMMYFUNCTION("""COMPUTED_VALUE"""),237.0)</f>
        <v>237</v>
      </c>
      <c r="E33" s="9">
        <f>IFERROR(__xludf.DUMMYFUNCTION("""COMPUTED_VALUE"""),198.0)</f>
        <v>198</v>
      </c>
      <c r="F33" s="9">
        <f>IFERROR(__xludf.DUMMYFUNCTION("""COMPUTED_VALUE"""),136.0)</f>
        <v>136</v>
      </c>
      <c r="G33" s="9">
        <f>IFERROR(__xludf.DUMMYFUNCTION("""COMPUTED_VALUE"""),225.0)</f>
        <v>225</v>
      </c>
      <c r="K33" s="4" t="s">
        <v>19</v>
      </c>
    </row>
    <row r="34">
      <c r="A34" s="5"/>
      <c r="B34" s="2">
        <v>3.0</v>
      </c>
      <c r="C34" s="4">
        <f>IFERROR(__xludf.DUMMYFUNCTION("SPLIT(K34, ""      "")"),2578.0)</f>
        <v>2578</v>
      </c>
      <c r="D34" s="9">
        <f>IFERROR(__xludf.DUMMYFUNCTION("""COMPUTED_VALUE"""),1563.0)</f>
        <v>1563</v>
      </c>
      <c r="E34" s="9">
        <f>IFERROR(__xludf.DUMMYFUNCTION("""COMPUTED_VALUE"""),2214.0)</f>
        <v>2214</v>
      </c>
      <c r="F34" s="9">
        <f>IFERROR(__xludf.DUMMYFUNCTION("""COMPUTED_VALUE"""),2881.0)</f>
        <v>2881</v>
      </c>
      <c r="G34" s="9">
        <f>IFERROR(__xludf.DUMMYFUNCTION("""COMPUTED_VALUE"""),6023.0)</f>
        <v>6023</v>
      </c>
      <c r="K34" s="4" t="s">
        <v>20</v>
      </c>
    </row>
    <row r="35">
      <c r="A35" s="5"/>
      <c r="B35" s="2">
        <v>4.0</v>
      </c>
      <c r="C35" s="4">
        <f>IFERROR(__xludf.DUMMYFUNCTION("SPLIT(K35, ""      "")"),587.0)</f>
        <v>587</v>
      </c>
      <c r="D35" s="9">
        <f>IFERROR(__xludf.DUMMYFUNCTION("""COMPUTED_VALUE"""),744.0)</f>
        <v>744</v>
      </c>
      <c r="E35" s="9">
        <f>IFERROR(__xludf.DUMMYFUNCTION("""COMPUTED_VALUE"""),2867.0)</f>
        <v>2867</v>
      </c>
      <c r="F35" s="9">
        <f>IFERROR(__xludf.DUMMYFUNCTION("""COMPUTED_VALUE"""),8326.0)</f>
        <v>8326</v>
      </c>
      <c r="G35" s="9">
        <f>IFERROR(__xludf.DUMMYFUNCTION("""COMPUTED_VALUE"""),23258.0)</f>
        <v>23258</v>
      </c>
      <c r="K35" s="4" t="s">
        <v>21</v>
      </c>
    </row>
    <row r="36">
      <c r="A36" s="5"/>
      <c r="B36" s="2">
        <v>5.0</v>
      </c>
      <c r="C36" s="4">
        <f>IFERROR(__xludf.DUMMYFUNCTION("SPLIT(K36, ""      "")"),89.0)</f>
        <v>89</v>
      </c>
      <c r="D36" s="9">
        <f>IFERROR(__xludf.DUMMYFUNCTION("""COMPUTED_VALUE"""),68.0)</f>
        <v>68</v>
      </c>
      <c r="E36" s="9">
        <f>IFERROR(__xludf.DUMMYFUNCTION("""COMPUTED_VALUE"""),415.0)</f>
        <v>415</v>
      </c>
      <c r="F36" s="9">
        <f>IFERROR(__xludf.DUMMYFUNCTION("""COMPUTED_VALUE"""),1752.0)</f>
        <v>1752</v>
      </c>
      <c r="G36" s="9">
        <f>IFERROR(__xludf.DUMMYFUNCTION("""COMPUTED_VALUE"""),7567.0)</f>
        <v>7567</v>
      </c>
      <c r="K36" s="4" t="s">
        <v>22</v>
      </c>
    </row>
    <row r="37">
      <c r="A37" s="5"/>
    </row>
    <row r="38">
      <c r="C38" s="2" t="s">
        <v>1</v>
      </c>
    </row>
    <row r="39">
      <c r="A39" s="8" t="s">
        <v>16</v>
      </c>
      <c r="C39" s="2">
        <v>1.0</v>
      </c>
      <c r="D39" s="2">
        <v>2.0</v>
      </c>
      <c r="E39" s="2">
        <v>3.0</v>
      </c>
      <c r="F39" s="2">
        <v>4.0</v>
      </c>
      <c r="G39" s="2">
        <v>5.0</v>
      </c>
    </row>
    <row r="40">
      <c r="A40" s="8" t="s">
        <v>17</v>
      </c>
      <c r="B40" s="2">
        <v>1.0</v>
      </c>
      <c r="C40" s="4">
        <f>IFERROR(__xludf.DUMMYFUNCTION("SPLIT(K40, ""      "")"),4.0)</f>
        <v>4</v>
      </c>
      <c r="D40" s="9">
        <f>IFERROR(__xludf.DUMMYFUNCTION("""COMPUTED_VALUE"""),0.0)</f>
        <v>0</v>
      </c>
      <c r="E40" s="9">
        <f>IFERROR(__xludf.DUMMYFUNCTION("""COMPUTED_VALUE"""),1.0)</f>
        <v>1</v>
      </c>
      <c r="F40" s="9">
        <f>IFERROR(__xludf.DUMMYFUNCTION("""COMPUTED_VALUE"""),2.0)</f>
        <v>2</v>
      </c>
      <c r="G40" s="9">
        <f>IFERROR(__xludf.DUMMYFUNCTION("""COMPUTED_VALUE"""),1.0)</f>
        <v>1</v>
      </c>
      <c r="K40" s="4" t="s">
        <v>23</v>
      </c>
    </row>
    <row r="41">
      <c r="A41" s="10"/>
      <c r="B41" s="2">
        <v>2.0</v>
      </c>
      <c r="C41" s="4">
        <f>IFERROR(__xludf.DUMMYFUNCTION("SPLIT(K41, ""      "")"),27.0)</f>
        <v>27</v>
      </c>
      <c r="D41" s="9">
        <f>IFERROR(__xludf.DUMMYFUNCTION("""COMPUTED_VALUE"""),14.0)</f>
        <v>14</v>
      </c>
      <c r="E41" s="9">
        <f>IFERROR(__xludf.DUMMYFUNCTION("""COMPUTED_VALUE"""),5.0)</f>
        <v>5</v>
      </c>
      <c r="F41" s="9">
        <f>IFERROR(__xludf.DUMMYFUNCTION("""COMPUTED_VALUE"""),6.0)</f>
        <v>6</v>
      </c>
      <c r="G41" s="9">
        <f>IFERROR(__xludf.DUMMYFUNCTION("""COMPUTED_VALUE"""),10.0)</f>
        <v>10</v>
      </c>
      <c r="K41" s="4" t="s">
        <v>24</v>
      </c>
    </row>
    <row r="42">
      <c r="A42" s="5"/>
      <c r="B42" s="2">
        <v>3.0</v>
      </c>
      <c r="C42" s="4">
        <f>IFERROR(__xludf.DUMMYFUNCTION("SPLIT(K42, ""      "")"),84.0)</f>
        <v>84</v>
      </c>
      <c r="D42" s="9">
        <f>IFERROR(__xludf.DUMMYFUNCTION("""COMPUTED_VALUE"""),38.0)</f>
        <v>38</v>
      </c>
      <c r="E42" s="9">
        <f>IFERROR(__xludf.DUMMYFUNCTION("""COMPUTED_VALUE"""),51.0)</f>
        <v>51</v>
      </c>
      <c r="F42" s="9">
        <f>IFERROR(__xludf.DUMMYFUNCTION("""COMPUTED_VALUE"""),93.0)</f>
        <v>93</v>
      </c>
      <c r="G42" s="9">
        <f>IFERROR(__xludf.DUMMYFUNCTION("""COMPUTED_VALUE"""),258.0)</f>
        <v>258</v>
      </c>
      <c r="K42" s="4" t="s">
        <v>25</v>
      </c>
    </row>
    <row r="43">
      <c r="A43" s="5"/>
      <c r="B43" s="2">
        <v>4.0</v>
      </c>
      <c r="C43" s="4">
        <f>IFERROR(__xludf.DUMMYFUNCTION("SPLIT(K43, ""      "")"),15.0)</f>
        <v>15</v>
      </c>
      <c r="D43" s="9">
        <f>IFERROR(__xludf.DUMMYFUNCTION("""COMPUTED_VALUE"""),10.0)</f>
        <v>10</v>
      </c>
      <c r="E43" s="9">
        <f>IFERROR(__xludf.DUMMYFUNCTION("""COMPUTED_VALUE"""),38.0)</f>
        <v>38</v>
      </c>
      <c r="F43" s="9">
        <f>IFERROR(__xludf.DUMMYFUNCTION("""COMPUTED_VALUE"""),246.0)</f>
        <v>246</v>
      </c>
      <c r="G43" s="9">
        <f>IFERROR(__xludf.DUMMYFUNCTION("""COMPUTED_VALUE"""),1329.0)</f>
        <v>1329</v>
      </c>
      <c r="K43" s="4" t="s">
        <v>26</v>
      </c>
    </row>
    <row r="44">
      <c r="A44" s="5"/>
      <c r="B44" s="2">
        <v>5.0</v>
      </c>
      <c r="C44" s="4">
        <f>IFERROR(__xludf.DUMMYFUNCTION("SPLIT(K44, ""      "")"),4.0)</f>
        <v>4</v>
      </c>
      <c r="D44" s="9">
        <f>IFERROR(__xludf.DUMMYFUNCTION("""COMPUTED_VALUE"""),2.0)</f>
        <v>2</v>
      </c>
      <c r="E44" s="9">
        <f>IFERROR(__xludf.DUMMYFUNCTION("""COMPUTED_VALUE"""),9.0)</f>
        <v>9</v>
      </c>
      <c r="F44" s="9">
        <f>IFERROR(__xludf.DUMMYFUNCTION("""COMPUTED_VALUE"""),121.0)</f>
        <v>121</v>
      </c>
      <c r="G44" s="9">
        <f>IFERROR(__xludf.DUMMYFUNCTION("""COMPUTED_VALUE"""),889.0)</f>
        <v>889</v>
      </c>
      <c r="K44" s="4" t="s">
        <v>27</v>
      </c>
    </row>
    <row r="45">
      <c r="A45" s="5"/>
    </row>
    <row r="46">
      <c r="C46" s="2" t="s">
        <v>2</v>
      </c>
    </row>
    <row r="47">
      <c r="A47" s="8" t="s">
        <v>16</v>
      </c>
      <c r="C47" s="2">
        <v>1.0</v>
      </c>
      <c r="D47" s="2">
        <v>2.0</v>
      </c>
      <c r="E47" s="2">
        <v>3.0</v>
      </c>
      <c r="F47" s="2">
        <v>4.0</v>
      </c>
      <c r="G47" s="2">
        <v>5.0</v>
      </c>
    </row>
    <row r="48">
      <c r="A48" s="8" t="s">
        <v>17</v>
      </c>
      <c r="B48" s="2">
        <v>1.0</v>
      </c>
      <c r="C48" s="4">
        <f>IFERROR(__xludf.DUMMYFUNCTION("SPLIT(K48, ""      "")"),1.0)</f>
        <v>1</v>
      </c>
      <c r="D48" s="9">
        <f>IFERROR(__xludf.DUMMYFUNCTION("""COMPUTED_VALUE"""),0.0)</f>
        <v>0</v>
      </c>
      <c r="E48" s="9">
        <f>IFERROR(__xludf.DUMMYFUNCTION("""COMPUTED_VALUE"""),0.0)</f>
        <v>0</v>
      </c>
      <c r="F48" s="9">
        <f>IFERROR(__xludf.DUMMYFUNCTION("""COMPUTED_VALUE"""),1.0)</f>
        <v>1</v>
      </c>
      <c r="G48" s="9">
        <f>IFERROR(__xludf.DUMMYFUNCTION("""COMPUTED_VALUE"""),0.0)</f>
        <v>0</v>
      </c>
      <c r="K48" s="4" t="s">
        <v>28</v>
      </c>
    </row>
    <row r="49">
      <c r="A49" s="10"/>
      <c r="B49" s="2">
        <v>2.0</v>
      </c>
      <c r="C49" s="4">
        <f>IFERROR(__xludf.DUMMYFUNCTION("SPLIT(K49, ""      "")"),14.0)</f>
        <v>14</v>
      </c>
      <c r="D49" s="9">
        <f>IFERROR(__xludf.DUMMYFUNCTION("""COMPUTED_VALUE"""),4.0)</f>
        <v>4</v>
      </c>
      <c r="E49" s="9">
        <f>IFERROR(__xludf.DUMMYFUNCTION("""COMPUTED_VALUE"""),3.0)</f>
        <v>3</v>
      </c>
      <c r="F49" s="9">
        <f>IFERROR(__xludf.DUMMYFUNCTION("""COMPUTED_VALUE"""),1.0)</f>
        <v>1</v>
      </c>
      <c r="G49" s="9">
        <f>IFERROR(__xludf.DUMMYFUNCTION("""COMPUTED_VALUE"""),4.0)</f>
        <v>4</v>
      </c>
      <c r="K49" s="4" t="s">
        <v>29</v>
      </c>
    </row>
    <row r="50">
      <c r="A50" s="5"/>
      <c r="B50" s="2">
        <v>3.0</v>
      </c>
      <c r="C50" s="4">
        <f>IFERROR(__xludf.DUMMYFUNCTION("SPLIT(K50, ""      "")"),60.0)</f>
        <v>60</v>
      </c>
      <c r="D50" s="9">
        <f>IFERROR(__xludf.DUMMYFUNCTION("""COMPUTED_VALUE"""),15.0)</f>
        <v>15</v>
      </c>
      <c r="E50" s="9">
        <f>IFERROR(__xludf.DUMMYFUNCTION("""COMPUTED_VALUE"""),25.0)</f>
        <v>25</v>
      </c>
      <c r="F50" s="9">
        <f>IFERROR(__xludf.DUMMYFUNCTION("""COMPUTED_VALUE"""),37.0)</f>
        <v>37</v>
      </c>
      <c r="G50" s="9">
        <f>IFERROR(__xludf.DUMMYFUNCTION("""COMPUTED_VALUE"""),122.0)</f>
        <v>122</v>
      </c>
      <c r="K50" s="4" t="s">
        <v>30</v>
      </c>
    </row>
    <row r="51">
      <c r="A51" s="5"/>
      <c r="B51" s="2">
        <v>4.0</v>
      </c>
      <c r="C51" s="4">
        <f>IFERROR(__xludf.DUMMYFUNCTION("SPLIT(K51, ""      "")"),10.0)</f>
        <v>10</v>
      </c>
      <c r="D51" s="9">
        <f>IFERROR(__xludf.DUMMYFUNCTION("""COMPUTED_VALUE"""),9.0)</f>
        <v>9</v>
      </c>
      <c r="E51" s="9">
        <f>IFERROR(__xludf.DUMMYFUNCTION("""COMPUTED_VALUE"""),14.0)</f>
        <v>14</v>
      </c>
      <c r="F51" s="9">
        <f>IFERROR(__xludf.DUMMYFUNCTION("""COMPUTED_VALUE"""),85.0)</f>
        <v>85</v>
      </c>
      <c r="G51" s="9">
        <f>IFERROR(__xludf.DUMMYFUNCTION("""COMPUTED_VALUE"""),459.0)</f>
        <v>459</v>
      </c>
      <c r="K51" s="4" t="s">
        <v>31</v>
      </c>
    </row>
    <row r="52">
      <c r="A52" s="5"/>
      <c r="B52" s="2">
        <v>5.0</v>
      </c>
      <c r="C52" s="4">
        <f>IFERROR(__xludf.DUMMYFUNCTION("SPLIT(K52, ""      "")"),3.0)</f>
        <v>3</v>
      </c>
      <c r="D52" s="9">
        <f>IFERROR(__xludf.DUMMYFUNCTION("""COMPUTED_VALUE"""),0.0)</f>
        <v>0</v>
      </c>
      <c r="E52" s="9">
        <f>IFERROR(__xludf.DUMMYFUNCTION("""COMPUTED_VALUE"""),1.0)</f>
        <v>1</v>
      </c>
      <c r="F52" s="9">
        <f>IFERROR(__xludf.DUMMYFUNCTION("""COMPUTED_VALUE"""),25.0)</f>
        <v>25</v>
      </c>
      <c r="G52" s="9">
        <f>IFERROR(__xludf.DUMMYFUNCTION("""COMPUTED_VALUE"""),195.0)</f>
        <v>195</v>
      </c>
      <c r="K52" s="4" t="s">
        <v>32</v>
      </c>
    </row>
    <row r="53">
      <c r="A53" s="5"/>
    </row>
    <row r="54">
      <c r="C54" s="2" t="s">
        <v>3</v>
      </c>
    </row>
    <row r="55">
      <c r="A55" s="8" t="s">
        <v>16</v>
      </c>
      <c r="C55" s="2">
        <v>1.0</v>
      </c>
      <c r="D55" s="2">
        <v>2.0</v>
      </c>
      <c r="E55" s="2">
        <v>3.0</v>
      </c>
      <c r="F55" s="2">
        <v>4.0</v>
      </c>
      <c r="G55" s="2">
        <v>5.0</v>
      </c>
    </row>
    <row r="56">
      <c r="A56" s="8" t="s">
        <v>17</v>
      </c>
      <c r="B56" s="2">
        <v>1.0</v>
      </c>
      <c r="C56" s="4">
        <f>IFERROR(__xludf.DUMMYFUNCTION("SPLIT(K56, ""      "")"),0.0)</f>
        <v>0</v>
      </c>
      <c r="D56" s="9">
        <f>IFERROR(__xludf.DUMMYFUNCTION("""COMPUTED_VALUE"""),0.0)</f>
        <v>0</v>
      </c>
      <c r="E56" s="9">
        <f>IFERROR(__xludf.DUMMYFUNCTION("""COMPUTED_VALUE"""),1.0)</f>
        <v>1</v>
      </c>
      <c r="F56" s="9">
        <f>IFERROR(__xludf.DUMMYFUNCTION("""COMPUTED_VALUE"""),0.0)</f>
        <v>0</v>
      </c>
      <c r="G56" s="9">
        <f>IFERROR(__xludf.DUMMYFUNCTION("""COMPUTED_VALUE"""),0.0)</f>
        <v>0</v>
      </c>
      <c r="K56" s="4" t="s">
        <v>33</v>
      </c>
    </row>
    <row r="57">
      <c r="A57" s="10"/>
      <c r="B57" s="2">
        <v>2.0</v>
      </c>
      <c r="C57" s="4">
        <f>IFERROR(__xludf.DUMMYFUNCTION("SPLIT(K57, ""      "")"),10.0)</f>
        <v>10</v>
      </c>
      <c r="D57" s="9">
        <f>IFERROR(__xludf.DUMMYFUNCTION("""COMPUTED_VALUE"""),5.0)</f>
        <v>5</v>
      </c>
      <c r="E57" s="9">
        <f>IFERROR(__xludf.DUMMYFUNCTION("""COMPUTED_VALUE"""),2.0)</f>
        <v>2</v>
      </c>
      <c r="F57" s="9">
        <f>IFERROR(__xludf.DUMMYFUNCTION("""COMPUTED_VALUE"""),2.0)</f>
        <v>2</v>
      </c>
      <c r="G57" s="9">
        <f>IFERROR(__xludf.DUMMYFUNCTION("""COMPUTED_VALUE"""),5.0)</f>
        <v>5</v>
      </c>
      <c r="K57" s="4" t="s">
        <v>34</v>
      </c>
    </row>
    <row r="58">
      <c r="A58" s="5"/>
      <c r="B58" s="2">
        <v>3.0</v>
      </c>
      <c r="C58" s="4">
        <f>IFERROR(__xludf.DUMMYFUNCTION("SPLIT(K58, ""      "")"),30.0)</f>
        <v>30</v>
      </c>
      <c r="D58" s="9">
        <f>IFERROR(__xludf.DUMMYFUNCTION("""COMPUTED_VALUE"""),16.0)</f>
        <v>16</v>
      </c>
      <c r="E58" s="9">
        <f>IFERROR(__xludf.DUMMYFUNCTION("""COMPUTED_VALUE"""),15.0)</f>
        <v>15</v>
      </c>
      <c r="F58" s="9">
        <f>IFERROR(__xludf.DUMMYFUNCTION("""COMPUTED_VALUE"""),34.0)</f>
        <v>34</v>
      </c>
      <c r="G58" s="9">
        <f>IFERROR(__xludf.DUMMYFUNCTION("""COMPUTED_VALUE"""),157.0)</f>
        <v>157</v>
      </c>
      <c r="K58" s="4" t="s">
        <v>35</v>
      </c>
    </row>
    <row r="59">
      <c r="A59" s="5"/>
      <c r="B59" s="2">
        <v>4.0</v>
      </c>
      <c r="C59" s="4">
        <f>IFERROR(__xludf.DUMMYFUNCTION("SPLIT(K59, ""      "")"),5.0)</f>
        <v>5</v>
      </c>
      <c r="D59" s="9">
        <f>IFERROR(__xludf.DUMMYFUNCTION("""COMPUTED_VALUE"""),5.0)</f>
        <v>5</v>
      </c>
      <c r="E59" s="9">
        <f>IFERROR(__xludf.DUMMYFUNCTION("""COMPUTED_VALUE"""),12.0)</f>
        <v>12</v>
      </c>
      <c r="F59" s="9">
        <f>IFERROR(__xludf.DUMMYFUNCTION("""COMPUTED_VALUE"""),113.0)</f>
        <v>113</v>
      </c>
      <c r="G59" s="9">
        <f>IFERROR(__xludf.DUMMYFUNCTION("""COMPUTED_VALUE"""),820.0)</f>
        <v>820</v>
      </c>
      <c r="K59" s="4" t="s">
        <v>36</v>
      </c>
    </row>
    <row r="60">
      <c r="A60" s="5"/>
      <c r="B60" s="2">
        <v>5.0</v>
      </c>
      <c r="C60" s="4">
        <f>IFERROR(__xludf.DUMMYFUNCTION("SPLIT(K60, ""      "")"),0.0)</f>
        <v>0</v>
      </c>
      <c r="D60" s="9">
        <f>IFERROR(__xludf.DUMMYFUNCTION("""COMPUTED_VALUE"""),0.0)</f>
        <v>0</v>
      </c>
      <c r="E60" s="9">
        <f>IFERROR(__xludf.DUMMYFUNCTION("""COMPUTED_VALUE"""),3.0)</f>
        <v>3</v>
      </c>
      <c r="F60" s="9">
        <f>IFERROR(__xludf.DUMMYFUNCTION("""COMPUTED_VALUE"""),15.0)</f>
        <v>15</v>
      </c>
      <c r="G60" s="9">
        <f>IFERROR(__xludf.DUMMYFUNCTION("""COMPUTED_VALUE"""),176.0)</f>
        <v>176</v>
      </c>
      <c r="K60" s="4" t="s">
        <v>37</v>
      </c>
    </row>
    <row r="61">
      <c r="A61" s="5"/>
    </row>
    <row r="62">
      <c r="C62" s="2" t="s">
        <v>4</v>
      </c>
    </row>
    <row r="63">
      <c r="A63" s="8" t="s">
        <v>16</v>
      </c>
      <c r="C63" s="2">
        <v>1.0</v>
      </c>
      <c r="D63" s="2">
        <v>2.0</v>
      </c>
      <c r="E63" s="2">
        <v>3.0</v>
      </c>
      <c r="F63" s="2">
        <v>4.0</v>
      </c>
      <c r="G63" s="2">
        <v>5.0</v>
      </c>
    </row>
    <row r="64">
      <c r="A64" s="8" t="s">
        <v>17</v>
      </c>
      <c r="B64" s="2">
        <v>1.0</v>
      </c>
      <c r="C64" s="4">
        <f>IFERROR(__xludf.DUMMYFUNCTION("SPLIT(K64, ""      "")"),4.0)</f>
        <v>4</v>
      </c>
      <c r="D64" s="9">
        <f>IFERROR(__xludf.DUMMYFUNCTION("""COMPUTED_VALUE"""),0.0)</f>
        <v>0</v>
      </c>
      <c r="E64" s="9">
        <f>IFERROR(__xludf.DUMMYFUNCTION("""COMPUTED_VALUE"""),1.0)</f>
        <v>1</v>
      </c>
      <c r="F64" s="9">
        <f>IFERROR(__xludf.DUMMYFUNCTION("""COMPUTED_VALUE"""),1.0)</f>
        <v>1</v>
      </c>
      <c r="G64" s="9">
        <f>IFERROR(__xludf.DUMMYFUNCTION("""COMPUTED_VALUE"""),0.0)</f>
        <v>0</v>
      </c>
      <c r="K64" s="4" t="s">
        <v>38</v>
      </c>
    </row>
    <row r="65">
      <c r="A65" s="10"/>
      <c r="B65" s="2">
        <v>2.0</v>
      </c>
      <c r="C65" s="4">
        <f>IFERROR(__xludf.DUMMYFUNCTION("SPLIT(K65, ""      "")"),10.0)</f>
        <v>10</v>
      </c>
      <c r="D65" s="9">
        <f>IFERROR(__xludf.DUMMYFUNCTION("""COMPUTED_VALUE"""),2.0)</f>
        <v>2</v>
      </c>
      <c r="E65" s="9">
        <f>IFERROR(__xludf.DUMMYFUNCTION("""COMPUTED_VALUE"""),5.0)</f>
        <v>5</v>
      </c>
      <c r="F65" s="9">
        <f>IFERROR(__xludf.DUMMYFUNCTION("""COMPUTED_VALUE"""),8.0)</f>
        <v>8</v>
      </c>
      <c r="G65" s="9">
        <f>IFERROR(__xludf.DUMMYFUNCTION("""COMPUTED_VALUE"""),13.0)</f>
        <v>13</v>
      </c>
      <c r="K65" s="4" t="s">
        <v>39</v>
      </c>
    </row>
    <row r="66">
      <c r="A66" s="5"/>
      <c r="B66" s="2">
        <v>3.0</v>
      </c>
      <c r="C66" s="4">
        <f>IFERROR(__xludf.DUMMYFUNCTION("SPLIT(K66, ""      "")"),25.0)</f>
        <v>25</v>
      </c>
      <c r="D66" s="9">
        <f>IFERROR(__xludf.DUMMYFUNCTION("""COMPUTED_VALUE"""),9.0)</f>
        <v>9</v>
      </c>
      <c r="E66" s="9">
        <f>IFERROR(__xludf.DUMMYFUNCTION("""COMPUTED_VALUE"""),20.0)</f>
        <v>20</v>
      </c>
      <c r="F66" s="9">
        <f>IFERROR(__xludf.DUMMYFUNCTION("""COMPUTED_VALUE"""),49.0)</f>
        <v>49</v>
      </c>
      <c r="G66" s="9">
        <f>IFERROR(__xludf.DUMMYFUNCTION("""COMPUTED_VALUE"""),225.0)</f>
        <v>225</v>
      </c>
      <c r="K66" s="4" t="s">
        <v>40</v>
      </c>
    </row>
    <row r="67">
      <c r="A67" s="5"/>
      <c r="B67" s="2">
        <v>4.0</v>
      </c>
      <c r="C67" s="4">
        <f>IFERROR(__xludf.DUMMYFUNCTION("SPLIT(K67, ""      "")"),9.0)</f>
        <v>9</v>
      </c>
      <c r="D67" s="9">
        <f>IFERROR(__xludf.DUMMYFUNCTION("""COMPUTED_VALUE"""),6.0)</f>
        <v>6</v>
      </c>
      <c r="E67" s="9">
        <f>IFERROR(__xludf.DUMMYFUNCTION("""COMPUTED_VALUE"""),28.0)</f>
        <v>28</v>
      </c>
      <c r="F67" s="9">
        <f>IFERROR(__xludf.DUMMYFUNCTION("""COMPUTED_VALUE"""),123.0)</f>
        <v>123</v>
      </c>
      <c r="G67" s="9">
        <f>IFERROR(__xludf.DUMMYFUNCTION("""COMPUTED_VALUE"""),1073.0)</f>
        <v>1073</v>
      </c>
      <c r="K67" s="4" t="s">
        <v>41</v>
      </c>
    </row>
    <row r="68">
      <c r="A68" s="5"/>
      <c r="B68" s="2">
        <v>5.0</v>
      </c>
      <c r="C68" s="4">
        <f>IFERROR(__xludf.DUMMYFUNCTION("SPLIT(K68, ""      "")"),2.0)</f>
        <v>2</v>
      </c>
      <c r="D68" s="9">
        <f>IFERROR(__xludf.DUMMYFUNCTION("""COMPUTED_VALUE"""),1.0)</f>
        <v>1</v>
      </c>
      <c r="E68" s="9">
        <f>IFERROR(__xludf.DUMMYFUNCTION("""COMPUTED_VALUE"""),6.0)</f>
        <v>6</v>
      </c>
      <c r="F68" s="9">
        <f>IFERROR(__xludf.DUMMYFUNCTION("""COMPUTED_VALUE"""),62.0)</f>
        <v>62</v>
      </c>
      <c r="G68" s="9">
        <f>IFERROR(__xludf.DUMMYFUNCTION("""COMPUTED_VALUE"""),731.0)</f>
        <v>731</v>
      </c>
      <c r="K68" s="4" t="s">
        <v>42</v>
      </c>
    </row>
    <row r="69">
      <c r="A69" s="5"/>
    </row>
    <row r="70">
      <c r="C70" s="2" t="s">
        <v>5</v>
      </c>
    </row>
    <row r="71">
      <c r="A71" s="8" t="s">
        <v>16</v>
      </c>
      <c r="C71" s="2">
        <v>1.0</v>
      </c>
      <c r="D71" s="2">
        <v>2.0</v>
      </c>
      <c r="E71" s="2">
        <v>3.0</v>
      </c>
      <c r="F71" s="2">
        <v>4.0</v>
      </c>
      <c r="G71" s="2">
        <v>5.0</v>
      </c>
    </row>
    <row r="72">
      <c r="A72" s="8" t="s">
        <v>17</v>
      </c>
      <c r="B72" s="2">
        <v>1.0</v>
      </c>
      <c r="C72" s="4">
        <f>IFERROR(__xludf.DUMMYFUNCTION("SPLIT(K72, ""      "")"),47.0)</f>
        <v>47</v>
      </c>
      <c r="D72" s="9">
        <f>IFERROR(__xludf.DUMMYFUNCTION("""COMPUTED_VALUE"""),9.0)</f>
        <v>9</v>
      </c>
      <c r="E72" s="9">
        <f>IFERROR(__xludf.DUMMYFUNCTION("""COMPUTED_VALUE"""),8.0)</f>
        <v>8</v>
      </c>
      <c r="F72" s="9">
        <f>IFERROR(__xludf.DUMMYFUNCTION("""COMPUTED_VALUE"""),4.0)</f>
        <v>4</v>
      </c>
      <c r="G72" s="9">
        <f>IFERROR(__xludf.DUMMYFUNCTION("""COMPUTED_VALUE"""),5.0)</f>
        <v>5</v>
      </c>
      <c r="K72" s="4" t="s">
        <v>43</v>
      </c>
    </row>
    <row r="73">
      <c r="A73" s="10"/>
      <c r="B73" s="2">
        <v>2.0</v>
      </c>
      <c r="C73" s="4">
        <f>IFERROR(__xludf.DUMMYFUNCTION("SPLIT(K73, ""      "")"),255.0)</f>
        <v>255</v>
      </c>
      <c r="D73" s="9">
        <f>IFERROR(__xludf.DUMMYFUNCTION("""COMPUTED_VALUE"""),56.0)</f>
        <v>56</v>
      </c>
      <c r="E73" s="9">
        <f>IFERROR(__xludf.DUMMYFUNCTION("""COMPUTED_VALUE"""),48.0)</f>
        <v>48</v>
      </c>
      <c r="F73" s="9">
        <f>IFERROR(__xludf.DUMMYFUNCTION("""COMPUTED_VALUE"""),46.0)</f>
        <v>46</v>
      </c>
      <c r="G73" s="9">
        <f>IFERROR(__xludf.DUMMYFUNCTION("""COMPUTED_VALUE"""),58.0)</f>
        <v>58</v>
      </c>
      <c r="K73" s="4" t="s">
        <v>44</v>
      </c>
    </row>
    <row r="74">
      <c r="A74" s="5"/>
      <c r="B74" s="2">
        <v>3.0</v>
      </c>
      <c r="C74" s="4">
        <f>IFERROR(__xludf.DUMMYFUNCTION("SPLIT(K74, ""      "")"),872.0)</f>
        <v>872</v>
      </c>
      <c r="D74" s="9">
        <f>IFERROR(__xludf.DUMMYFUNCTION("""COMPUTED_VALUE"""),357.0)</f>
        <v>357</v>
      </c>
      <c r="E74" s="9">
        <f>IFERROR(__xludf.DUMMYFUNCTION("""COMPUTED_VALUE"""),400.0)</f>
        <v>400</v>
      </c>
      <c r="F74" s="9">
        <f>IFERROR(__xludf.DUMMYFUNCTION("""COMPUTED_VALUE"""),702.0)</f>
        <v>702</v>
      </c>
      <c r="G74" s="9">
        <f>IFERROR(__xludf.DUMMYFUNCTION("""COMPUTED_VALUE"""),1415.0)</f>
        <v>1415</v>
      </c>
      <c r="K74" s="4" t="s">
        <v>45</v>
      </c>
    </row>
    <row r="75">
      <c r="A75" s="5"/>
      <c r="B75" s="2">
        <v>4.0</v>
      </c>
      <c r="C75" s="4">
        <f>IFERROR(__xludf.DUMMYFUNCTION("SPLIT(K75, ""      "")"),123.0)</f>
        <v>123</v>
      </c>
      <c r="D75" s="9">
        <f>IFERROR(__xludf.DUMMYFUNCTION("""COMPUTED_VALUE"""),86.0)</f>
        <v>86</v>
      </c>
      <c r="E75" s="9">
        <f>IFERROR(__xludf.DUMMYFUNCTION("""COMPUTED_VALUE"""),196.0)</f>
        <v>196</v>
      </c>
      <c r="F75" s="9">
        <f>IFERROR(__xludf.DUMMYFUNCTION("""COMPUTED_VALUE"""),1114.0)</f>
        <v>1114</v>
      </c>
      <c r="G75" s="9">
        <f>IFERROR(__xludf.DUMMYFUNCTION("""COMPUTED_VALUE"""),4663.0)</f>
        <v>4663</v>
      </c>
      <c r="K75" s="4" t="s">
        <v>46</v>
      </c>
    </row>
    <row r="76">
      <c r="A76" s="5"/>
      <c r="B76" s="2">
        <v>5.0</v>
      </c>
      <c r="C76" s="4">
        <f>IFERROR(__xludf.DUMMYFUNCTION("SPLIT(K76, ""      "")"),24.0)</f>
        <v>24</v>
      </c>
      <c r="D76" s="9">
        <f>IFERROR(__xludf.DUMMYFUNCTION("""COMPUTED_VALUE"""),10.0)</f>
        <v>10</v>
      </c>
      <c r="E76" s="9">
        <f>IFERROR(__xludf.DUMMYFUNCTION("""COMPUTED_VALUE"""),33.0)</f>
        <v>33</v>
      </c>
      <c r="F76" s="9">
        <f>IFERROR(__xludf.DUMMYFUNCTION("""COMPUTED_VALUE"""),252.0)</f>
        <v>252</v>
      </c>
      <c r="G76" s="9">
        <f>IFERROR(__xludf.DUMMYFUNCTION("""COMPUTED_VALUE"""),1494.0)</f>
        <v>1494</v>
      </c>
      <c r="K76" s="4" t="s">
        <v>47</v>
      </c>
    </row>
    <row r="77">
      <c r="A77" s="5"/>
    </row>
    <row r="78">
      <c r="C78" s="2" t="s">
        <v>6</v>
      </c>
    </row>
    <row r="79">
      <c r="A79" s="8" t="s">
        <v>16</v>
      </c>
      <c r="C79" s="2">
        <v>1.0</v>
      </c>
      <c r="D79" s="2">
        <v>2.0</v>
      </c>
      <c r="E79" s="2">
        <v>3.0</v>
      </c>
      <c r="F79" s="2">
        <v>4.0</v>
      </c>
      <c r="G79" s="2">
        <v>5.0</v>
      </c>
    </row>
    <row r="80">
      <c r="A80" s="8" t="s">
        <v>17</v>
      </c>
      <c r="B80" s="2">
        <v>1.0</v>
      </c>
      <c r="C80" s="4">
        <f>IFERROR(__xludf.DUMMYFUNCTION("SPLIT(K80, ""      "")"),2.0)</f>
        <v>2</v>
      </c>
      <c r="D80" s="9">
        <f>IFERROR(__xludf.DUMMYFUNCTION("""COMPUTED_VALUE"""),0.0)</f>
        <v>0</v>
      </c>
      <c r="E80" s="9">
        <f>IFERROR(__xludf.DUMMYFUNCTION("""COMPUTED_VALUE"""),2.0)</f>
        <v>2</v>
      </c>
      <c r="F80" s="9">
        <f>IFERROR(__xludf.DUMMYFUNCTION("""COMPUTED_VALUE"""),0.0)</f>
        <v>0</v>
      </c>
      <c r="G80" s="9">
        <f>IFERROR(__xludf.DUMMYFUNCTION("""COMPUTED_VALUE"""),3.0)</f>
        <v>3</v>
      </c>
      <c r="K80" s="4" t="s">
        <v>48</v>
      </c>
    </row>
    <row r="81">
      <c r="A81" s="10"/>
      <c r="B81" s="2">
        <v>2.0</v>
      </c>
      <c r="C81" s="4">
        <f>IFERROR(__xludf.DUMMYFUNCTION("SPLIT(K81, ""      "")"),45.0)</f>
        <v>45</v>
      </c>
      <c r="D81" s="9">
        <f>IFERROR(__xludf.DUMMYFUNCTION("""COMPUTED_VALUE"""),26.0)</f>
        <v>26</v>
      </c>
      <c r="E81" s="9">
        <f>IFERROR(__xludf.DUMMYFUNCTION("""COMPUTED_VALUE"""),20.0)</f>
        <v>20</v>
      </c>
      <c r="F81" s="9">
        <f>IFERROR(__xludf.DUMMYFUNCTION("""COMPUTED_VALUE"""),3.0)</f>
        <v>3</v>
      </c>
      <c r="G81" s="9">
        <f>IFERROR(__xludf.DUMMYFUNCTION("""COMPUTED_VALUE"""),12.0)</f>
        <v>12</v>
      </c>
      <c r="K81" s="4" t="s">
        <v>49</v>
      </c>
    </row>
    <row r="82">
      <c r="A82" s="5"/>
      <c r="B82" s="2">
        <v>3.0</v>
      </c>
      <c r="C82" s="4">
        <f>IFERROR(__xludf.DUMMYFUNCTION("SPLIT(K82, ""      "")"),220.0)</f>
        <v>220</v>
      </c>
      <c r="D82" s="9">
        <f>IFERROR(__xludf.DUMMYFUNCTION("""COMPUTED_VALUE"""),127.0)</f>
        <v>127</v>
      </c>
      <c r="E82" s="9">
        <f>IFERROR(__xludf.DUMMYFUNCTION("""COMPUTED_VALUE"""),163.0)</f>
        <v>163</v>
      </c>
      <c r="F82" s="9">
        <f>IFERROR(__xludf.DUMMYFUNCTION("""COMPUTED_VALUE"""),148.0)</f>
        <v>148</v>
      </c>
      <c r="G82" s="9">
        <f>IFERROR(__xludf.DUMMYFUNCTION("""COMPUTED_VALUE"""),309.0)</f>
        <v>309</v>
      </c>
      <c r="K82" s="4" t="s">
        <v>50</v>
      </c>
    </row>
    <row r="83">
      <c r="A83" s="5"/>
      <c r="B83" s="2">
        <v>4.0</v>
      </c>
      <c r="C83" s="4">
        <f>IFERROR(__xludf.DUMMYFUNCTION("SPLIT(K83, ""      "")"),43.0)</f>
        <v>43</v>
      </c>
      <c r="D83" s="9">
        <f>IFERROR(__xludf.DUMMYFUNCTION("""COMPUTED_VALUE"""),38.0)</f>
        <v>38</v>
      </c>
      <c r="E83" s="9">
        <f>IFERROR(__xludf.DUMMYFUNCTION("""COMPUTED_VALUE"""),100.0)</f>
        <v>100</v>
      </c>
      <c r="F83" s="9">
        <f>IFERROR(__xludf.DUMMYFUNCTION("""COMPUTED_VALUE"""),369.0)</f>
        <v>369</v>
      </c>
      <c r="G83" s="9">
        <f>IFERROR(__xludf.DUMMYFUNCTION("""COMPUTED_VALUE"""),1576.0)</f>
        <v>1576</v>
      </c>
      <c r="K83" s="4" t="s">
        <v>51</v>
      </c>
    </row>
    <row r="84">
      <c r="A84" s="5"/>
      <c r="B84" s="2">
        <v>5.0</v>
      </c>
      <c r="C84" s="4">
        <f>IFERROR(__xludf.DUMMYFUNCTION("SPLIT(K84, ""      "")"),7.0)</f>
        <v>7</v>
      </c>
      <c r="D84" s="9">
        <f>IFERROR(__xludf.DUMMYFUNCTION("""COMPUTED_VALUE"""),2.0)</f>
        <v>2</v>
      </c>
      <c r="E84" s="9">
        <f>IFERROR(__xludf.DUMMYFUNCTION("""COMPUTED_VALUE"""),20.0)</f>
        <v>20</v>
      </c>
      <c r="F84" s="9">
        <f>IFERROR(__xludf.DUMMYFUNCTION("""COMPUTED_VALUE"""),89.0)</f>
        <v>89</v>
      </c>
      <c r="G84" s="9">
        <f>IFERROR(__xludf.DUMMYFUNCTION("""COMPUTED_VALUE"""),571.0)</f>
        <v>571</v>
      </c>
      <c r="K84" s="4" t="s">
        <v>52</v>
      </c>
    </row>
    <row r="85">
      <c r="A85" s="5"/>
    </row>
    <row r="86">
      <c r="C86" s="2" t="s">
        <v>7</v>
      </c>
    </row>
    <row r="87">
      <c r="A87" s="8" t="s">
        <v>16</v>
      </c>
      <c r="C87" s="2">
        <v>1.0</v>
      </c>
      <c r="D87" s="2">
        <v>2.0</v>
      </c>
      <c r="E87" s="2">
        <v>3.0</v>
      </c>
      <c r="F87" s="2">
        <v>4.0</v>
      </c>
      <c r="G87" s="2">
        <v>5.0</v>
      </c>
    </row>
    <row r="88">
      <c r="A88" s="8" t="s">
        <v>17</v>
      </c>
      <c r="B88" s="2">
        <v>1.0</v>
      </c>
      <c r="C88" s="4">
        <f>IFERROR(__xludf.DUMMYFUNCTION("SPLIT(K88, ""      "")"),25.0)</f>
        <v>25</v>
      </c>
      <c r="D88" s="9">
        <f>IFERROR(__xludf.DUMMYFUNCTION("""COMPUTED_VALUE"""),17.0)</f>
        <v>17</v>
      </c>
      <c r="E88" s="9">
        <f>IFERROR(__xludf.DUMMYFUNCTION("""COMPUTED_VALUE"""),13.0)</f>
        <v>13</v>
      </c>
      <c r="F88" s="9">
        <f>IFERROR(__xludf.DUMMYFUNCTION("""COMPUTED_VALUE"""),9.0)</f>
        <v>9</v>
      </c>
      <c r="G88" s="9">
        <f>IFERROR(__xludf.DUMMYFUNCTION("""COMPUTED_VALUE"""),14.0)</f>
        <v>14</v>
      </c>
      <c r="K88" s="4" t="s">
        <v>53</v>
      </c>
    </row>
    <row r="89">
      <c r="A89" s="10"/>
      <c r="B89" s="2">
        <v>2.0</v>
      </c>
      <c r="C89" s="4">
        <f>IFERROR(__xludf.DUMMYFUNCTION("SPLIT(K89, ""      "")"),298.0)</f>
        <v>298</v>
      </c>
      <c r="D89" s="9">
        <f>IFERROR(__xludf.DUMMYFUNCTION("""COMPUTED_VALUE"""),130.0)</f>
        <v>130</v>
      </c>
      <c r="E89" s="9">
        <f>IFERROR(__xludf.DUMMYFUNCTION("""COMPUTED_VALUE"""),115.0)</f>
        <v>115</v>
      </c>
      <c r="F89" s="9">
        <f>IFERROR(__xludf.DUMMYFUNCTION("""COMPUTED_VALUE"""),70.0)</f>
        <v>70</v>
      </c>
      <c r="G89" s="9">
        <f>IFERROR(__xludf.DUMMYFUNCTION("""COMPUTED_VALUE"""),123.0)</f>
        <v>123</v>
      </c>
      <c r="K89" s="4" t="s">
        <v>54</v>
      </c>
    </row>
    <row r="90">
      <c r="A90" s="5"/>
      <c r="B90" s="2">
        <v>3.0</v>
      </c>
      <c r="C90" s="4">
        <f>IFERROR(__xludf.DUMMYFUNCTION("SPLIT(K90, ""      "")"),1287.0)</f>
        <v>1287</v>
      </c>
      <c r="D90" s="9">
        <f>IFERROR(__xludf.DUMMYFUNCTION("""COMPUTED_VALUE"""),1001.0)</f>
        <v>1001</v>
      </c>
      <c r="E90" s="9">
        <f>IFERROR(__xludf.DUMMYFUNCTION("""COMPUTED_VALUE"""),1540.0)</f>
        <v>1540</v>
      </c>
      <c r="F90" s="9">
        <f>IFERROR(__xludf.DUMMYFUNCTION("""COMPUTED_VALUE"""),1818.0)</f>
        <v>1818</v>
      </c>
      <c r="G90" s="9">
        <f>IFERROR(__xludf.DUMMYFUNCTION("""COMPUTED_VALUE"""),3537.0)</f>
        <v>3537</v>
      </c>
      <c r="K90" s="4" t="s">
        <v>55</v>
      </c>
    </row>
    <row r="91">
      <c r="A91" s="5"/>
      <c r="B91" s="2">
        <v>4.0</v>
      </c>
      <c r="C91" s="4">
        <f>IFERROR(__xludf.DUMMYFUNCTION("SPLIT(K91, ""      "")"),382.0)</f>
        <v>382</v>
      </c>
      <c r="D91" s="9">
        <f>IFERROR(__xludf.DUMMYFUNCTION("""COMPUTED_VALUE"""),590.0)</f>
        <v>590</v>
      </c>
      <c r="E91" s="9">
        <f>IFERROR(__xludf.DUMMYFUNCTION("""COMPUTED_VALUE"""),2479.0)</f>
        <v>2479</v>
      </c>
      <c r="F91" s="9">
        <f>IFERROR(__xludf.DUMMYFUNCTION("""COMPUTED_VALUE"""),6276.0)</f>
        <v>6276</v>
      </c>
      <c r="G91" s="9">
        <f>IFERROR(__xludf.DUMMYFUNCTION("""COMPUTED_VALUE"""),13338.0)</f>
        <v>13338</v>
      </c>
      <c r="K91" s="4" t="s">
        <v>56</v>
      </c>
    </row>
    <row r="92">
      <c r="A92" s="5"/>
      <c r="B92" s="2">
        <v>5.0</v>
      </c>
      <c r="C92" s="4">
        <f>IFERROR(__xludf.DUMMYFUNCTION("SPLIT(K92, ""      "")"),49.0)</f>
        <v>49</v>
      </c>
      <c r="D92" s="9">
        <f>IFERROR(__xludf.DUMMYFUNCTION("""COMPUTED_VALUE"""),53.0)</f>
        <v>53</v>
      </c>
      <c r="E92" s="9">
        <f>IFERROR(__xludf.DUMMYFUNCTION("""COMPUTED_VALUE"""),343.0)</f>
        <v>343</v>
      </c>
      <c r="F92" s="9">
        <f>IFERROR(__xludf.DUMMYFUNCTION("""COMPUTED_VALUE"""),1188.0)</f>
        <v>1188</v>
      </c>
      <c r="G92" s="9">
        <f>IFERROR(__xludf.DUMMYFUNCTION("""COMPUTED_VALUE"""),3511.0)</f>
        <v>3511</v>
      </c>
      <c r="K92" s="4" t="s">
        <v>57</v>
      </c>
    </row>
    <row r="93">
      <c r="A93" s="5"/>
    </row>
    <row r="94">
      <c r="A94" s="5"/>
    </row>
    <row r="95">
      <c r="A95" s="3" t="s">
        <v>58</v>
      </c>
      <c r="B95" s="4" t="s">
        <v>59</v>
      </c>
    </row>
    <row r="96">
      <c r="A96" s="6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6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6"/>
    </row>
    <row r="117">
      <c r="E117" s="4" t="s">
        <v>60</v>
      </c>
      <c r="F117" s="4" t="s">
        <v>61</v>
      </c>
    </row>
    <row r="118">
      <c r="F118" s="4">
        <v>1.0</v>
      </c>
      <c r="G118" s="11" t="s">
        <v>62</v>
      </c>
      <c r="H118" s="11">
        <v>86.0</v>
      </c>
      <c r="I118" s="12">
        <v>0.0055</v>
      </c>
      <c r="J118" s="13" t="s">
        <v>63</v>
      </c>
      <c r="K118" s="13">
        <v>556.0</v>
      </c>
      <c r="L118" s="14">
        <v>0.0354</v>
      </c>
    </row>
    <row r="119">
      <c r="F119" s="4">
        <v>2.0</v>
      </c>
      <c r="G119" s="11" t="s">
        <v>64</v>
      </c>
      <c r="H119" s="11">
        <v>1407.0</v>
      </c>
      <c r="I119" s="12">
        <v>0.0895</v>
      </c>
      <c r="J119" s="13" t="s">
        <v>65</v>
      </c>
      <c r="K119" s="13">
        <v>937.0</v>
      </c>
      <c r="L119" s="14">
        <v>0.0596</v>
      </c>
    </row>
    <row r="120">
      <c r="E120" s="15" t="s">
        <v>66</v>
      </c>
      <c r="F120" s="15">
        <v>3.0</v>
      </c>
      <c r="G120" s="11" t="s">
        <v>66</v>
      </c>
      <c r="H120" s="11">
        <v>1487.0</v>
      </c>
      <c r="I120" s="12">
        <v>0.095</v>
      </c>
      <c r="J120" s="13" t="s">
        <v>66</v>
      </c>
      <c r="K120" s="13">
        <v>1487.0</v>
      </c>
      <c r="L120" s="14">
        <v>0.095</v>
      </c>
    </row>
    <row r="121">
      <c r="F121" s="4">
        <v>4.0</v>
      </c>
      <c r="G121" s="11" t="s">
        <v>67</v>
      </c>
      <c r="H121" s="11">
        <v>10294.0</v>
      </c>
      <c r="I121" s="12">
        <v>0.6548</v>
      </c>
      <c r="J121" s="13" t="s">
        <v>68</v>
      </c>
      <c r="K121" s="13">
        <v>3309.0</v>
      </c>
      <c r="L121" s="14">
        <v>0.2105</v>
      </c>
    </row>
    <row r="122">
      <c r="E122" s="4" t="s">
        <v>69</v>
      </c>
      <c r="F122" s="4">
        <v>5.0</v>
      </c>
      <c r="G122" s="11" t="s">
        <v>70</v>
      </c>
      <c r="H122" s="11">
        <v>2446.0</v>
      </c>
      <c r="I122" s="12">
        <v>0.1556</v>
      </c>
      <c r="J122" s="13" t="s">
        <v>71</v>
      </c>
      <c r="K122" s="13">
        <v>9431.0</v>
      </c>
      <c r="L122" s="14">
        <v>0.6</v>
      </c>
    </row>
    <row r="123">
      <c r="G123" s="16" t="s">
        <v>72</v>
      </c>
      <c r="H123" s="16">
        <v>795.0</v>
      </c>
      <c r="I123" s="17">
        <v>0.0506</v>
      </c>
      <c r="J123" s="18" t="s">
        <v>73</v>
      </c>
      <c r="K123" s="18">
        <v>398.0</v>
      </c>
      <c r="L123" s="19">
        <v>0.0253</v>
      </c>
    </row>
    <row r="124">
      <c r="G124" s="16" t="s">
        <v>74</v>
      </c>
      <c r="H124" s="16">
        <v>698.0</v>
      </c>
      <c r="I124" s="17">
        <v>0.0444</v>
      </c>
      <c r="J124" s="18" t="s">
        <v>75</v>
      </c>
      <c r="K124" s="18">
        <v>1095.0</v>
      </c>
      <c r="L124" s="19">
        <v>0.0697</v>
      </c>
    </row>
    <row r="125">
      <c r="G125" s="16" t="s">
        <v>66</v>
      </c>
      <c r="H125" s="16">
        <v>1487.0</v>
      </c>
      <c r="I125" s="17">
        <v>0.095</v>
      </c>
      <c r="J125" s="18" t="s">
        <v>66</v>
      </c>
      <c r="K125" s="18">
        <v>1487.0</v>
      </c>
      <c r="L125" s="19">
        <v>0.095</v>
      </c>
    </row>
    <row r="126">
      <c r="G126" s="16" t="s">
        <v>76</v>
      </c>
      <c r="H126" s="16">
        <v>2076.0</v>
      </c>
      <c r="I126" s="17">
        <v>0.1321</v>
      </c>
      <c r="J126" s="18" t="s">
        <v>77</v>
      </c>
      <c r="K126" s="18">
        <v>4607.0</v>
      </c>
      <c r="L126" s="19">
        <v>0.2931</v>
      </c>
    </row>
    <row r="127">
      <c r="G127" s="16" t="s">
        <v>78</v>
      </c>
      <c r="H127" s="16">
        <v>10664.0</v>
      </c>
      <c r="I127" s="17">
        <v>0.6771</v>
      </c>
      <c r="J127" s="18" t="s">
        <v>79</v>
      </c>
      <c r="K127" s="18">
        <v>8133.0</v>
      </c>
      <c r="L127" s="19">
        <v>0.5174</v>
      </c>
    </row>
    <row r="128">
      <c r="G128" s="20" t="s">
        <v>80</v>
      </c>
      <c r="H128" s="20">
        <v>63.0</v>
      </c>
      <c r="I128" s="21">
        <v>0.004</v>
      </c>
      <c r="J128" s="4"/>
    </row>
    <row r="129">
      <c r="G129" s="20" t="s">
        <v>81</v>
      </c>
      <c r="H129" s="20">
        <v>493.0</v>
      </c>
      <c r="I129" s="21">
        <v>0.0314</v>
      </c>
    </row>
    <row r="130">
      <c r="F130" s="2" t="s">
        <v>82</v>
      </c>
      <c r="G130" s="20" t="s">
        <v>69</v>
      </c>
      <c r="H130" s="20">
        <v>5733.0</v>
      </c>
      <c r="I130" s="21">
        <v>0.3619</v>
      </c>
    </row>
    <row r="131">
      <c r="F131" s="2" t="s">
        <v>83</v>
      </c>
      <c r="G131" s="20" t="s">
        <v>84</v>
      </c>
      <c r="H131" s="20">
        <v>7779.0</v>
      </c>
      <c r="I131" s="21">
        <v>0.4786</v>
      </c>
    </row>
    <row r="132">
      <c r="F132" s="2" t="s">
        <v>85</v>
      </c>
      <c r="G132" s="20" t="s">
        <v>86</v>
      </c>
      <c r="H132" s="20">
        <v>1652.0</v>
      </c>
      <c r="I132" s="21">
        <v>0.1003</v>
      </c>
    </row>
    <row r="136">
      <c r="F136" s="4" t="s">
        <v>87</v>
      </c>
      <c r="G136" s="4" t="s">
        <v>88</v>
      </c>
      <c r="H136" s="4" t="s">
        <v>89</v>
      </c>
      <c r="I136" s="4" t="s">
        <v>90</v>
      </c>
    </row>
    <row r="137">
      <c r="F137" s="4" t="s">
        <v>91</v>
      </c>
      <c r="G137" s="4" t="s">
        <v>92</v>
      </c>
      <c r="H137" s="4" t="s">
        <v>89</v>
      </c>
    </row>
    <row r="138">
      <c r="F138" s="4" t="s">
        <v>93</v>
      </c>
      <c r="G138" s="4" t="s">
        <v>94</v>
      </c>
      <c r="H138" s="4" t="s">
        <v>90</v>
      </c>
      <c r="I138" s="4" t="s">
        <v>89</v>
      </c>
    </row>
    <row r="139">
      <c r="F139" s="4" t="s">
        <v>95</v>
      </c>
      <c r="G139" s="4" t="s">
        <v>96</v>
      </c>
      <c r="H139" s="4" t="s">
        <v>89</v>
      </c>
      <c r="I139" s="4" t="s">
        <v>90</v>
      </c>
    </row>
  </sheetData>
  <mergeCells count="1">
    <mergeCell ref="B95:I95"/>
  </mergeCells>
  <drawing r:id="rId1"/>
</worksheet>
</file>