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ter\Documents\Python Scripts\Outbreak_Mapping\Excel\"/>
    </mc:Choice>
  </mc:AlternateContent>
  <xr:revisionPtr revIDLastSave="0" documentId="13_ncr:1_{90F9AD98-4EC1-4F65-A42E-186E279A18A8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time_series_19-covid-Confirmed-" sheetId="1" r:id="rId1"/>
  </sheets>
  <definedNames>
    <definedName name="_xlnm._FilterDatabase" localSheetId="0" hidden="1">'time_series_19-covid-Confirmed-'!$A$1:$BB$406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07" i="1" l="1"/>
  <c r="G407" i="1"/>
  <c r="H407" i="1"/>
  <c r="I407" i="1"/>
  <c r="J407" i="1"/>
  <c r="K407" i="1"/>
  <c r="L407" i="1"/>
  <c r="M407" i="1"/>
  <c r="N407" i="1"/>
  <c r="O407" i="1"/>
  <c r="P407" i="1"/>
  <c r="Q407" i="1"/>
  <c r="R407" i="1"/>
  <c r="S407" i="1"/>
  <c r="T407" i="1"/>
  <c r="U407" i="1"/>
  <c r="V407" i="1"/>
  <c r="W407" i="1"/>
  <c r="X407" i="1"/>
  <c r="Y407" i="1"/>
  <c r="Z407" i="1"/>
  <c r="AA407" i="1"/>
  <c r="AB407" i="1"/>
  <c r="AC407" i="1"/>
  <c r="AD407" i="1"/>
  <c r="AE407" i="1"/>
  <c r="AF407" i="1"/>
  <c r="AG407" i="1"/>
  <c r="AH407" i="1"/>
  <c r="AI407" i="1"/>
  <c r="AJ407" i="1"/>
  <c r="AK407" i="1"/>
  <c r="AL407" i="1"/>
  <c r="AM407" i="1"/>
  <c r="AN407" i="1"/>
  <c r="AO407" i="1"/>
  <c r="AP407" i="1"/>
  <c r="AQ407" i="1"/>
  <c r="AR407" i="1"/>
  <c r="AS407" i="1"/>
  <c r="AT407" i="1"/>
  <c r="AU407" i="1"/>
  <c r="AV407" i="1"/>
  <c r="AW407" i="1"/>
  <c r="AX407" i="1"/>
  <c r="AY407" i="1"/>
  <c r="AZ407" i="1"/>
  <c r="BA407" i="1"/>
  <c r="BB407" i="1"/>
  <c r="BB412" i="1" l="1"/>
  <c r="BA412" i="1"/>
  <c r="AZ412" i="1"/>
  <c r="AY412" i="1"/>
  <c r="AX412" i="1"/>
  <c r="AW412" i="1"/>
  <c r="AV412" i="1"/>
  <c r="AU412" i="1"/>
  <c r="AT412" i="1"/>
  <c r="AS412" i="1"/>
  <c r="AR412" i="1"/>
  <c r="AQ412" i="1"/>
  <c r="AP412" i="1"/>
  <c r="AO412" i="1"/>
  <c r="AN412" i="1"/>
  <c r="AM412" i="1"/>
  <c r="AL412" i="1"/>
  <c r="AK412" i="1"/>
  <c r="AJ412" i="1"/>
  <c r="AI412" i="1"/>
  <c r="AH412" i="1"/>
  <c r="AG412" i="1"/>
  <c r="AF412" i="1"/>
  <c r="AE412" i="1"/>
  <c r="AD412" i="1"/>
  <c r="AC412" i="1"/>
  <c r="AB412" i="1"/>
  <c r="AA412" i="1"/>
  <c r="Z412" i="1"/>
  <c r="Y412" i="1"/>
  <c r="X412" i="1"/>
  <c r="W412" i="1"/>
  <c r="V412" i="1"/>
  <c r="U412" i="1"/>
  <c r="T412" i="1"/>
  <c r="S412" i="1"/>
  <c r="R412" i="1"/>
  <c r="Q412" i="1"/>
  <c r="P412" i="1"/>
  <c r="O412" i="1"/>
  <c r="N412" i="1"/>
  <c r="M412" i="1"/>
  <c r="L412" i="1"/>
  <c r="K412" i="1"/>
  <c r="J412" i="1"/>
  <c r="I412" i="1"/>
  <c r="H412" i="1"/>
  <c r="G412" i="1"/>
  <c r="BB411" i="1"/>
  <c r="BA411" i="1"/>
  <c r="AZ411" i="1"/>
  <c r="AY411" i="1"/>
  <c r="AX411" i="1"/>
  <c r="AW411" i="1"/>
  <c r="AV411" i="1"/>
  <c r="AU411" i="1"/>
  <c r="AT411" i="1"/>
  <c r="AS411" i="1"/>
  <c r="AR411" i="1"/>
  <c r="AQ411" i="1"/>
  <c r="AP411" i="1"/>
  <c r="AO411" i="1"/>
  <c r="AN411" i="1"/>
  <c r="AM411" i="1"/>
  <c r="AL411" i="1"/>
  <c r="AK411" i="1"/>
  <c r="AJ411" i="1"/>
  <c r="AI411" i="1"/>
  <c r="AH411" i="1"/>
  <c r="AG411" i="1"/>
  <c r="AF411" i="1"/>
  <c r="AE411" i="1"/>
  <c r="AD411" i="1"/>
  <c r="AC411" i="1"/>
  <c r="AB411" i="1"/>
  <c r="AA411" i="1"/>
  <c r="Z411" i="1"/>
  <c r="Y411" i="1"/>
  <c r="X411" i="1"/>
  <c r="W411" i="1"/>
  <c r="V411" i="1"/>
  <c r="U411" i="1"/>
  <c r="T411" i="1"/>
  <c r="S411" i="1"/>
  <c r="R411" i="1"/>
  <c r="Q411" i="1"/>
  <c r="P411" i="1"/>
  <c r="O411" i="1"/>
  <c r="N411" i="1"/>
  <c r="M411" i="1"/>
  <c r="L411" i="1"/>
  <c r="K411" i="1"/>
  <c r="J411" i="1"/>
  <c r="I411" i="1"/>
  <c r="H411" i="1"/>
  <c r="G411" i="1"/>
  <c r="F412" i="1"/>
  <c r="F411" i="1"/>
  <c r="U406" i="1"/>
  <c r="V406" i="1"/>
  <c r="W406" i="1"/>
  <c r="X406" i="1"/>
  <c r="Y406" i="1"/>
  <c r="Z406" i="1"/>
  <c r="AA406" i="1"/>
  <c r="AB406" i="1"/>
  <c r="AB413" i="1" s="1"/>
  <c r="AC406" i="1"/>
  <c r="AD406" i="1"/>
  <c r="AE406" i="1"/>
  <c r="AF406" i="1"/>
  <c r="AG406" i="1"/>
  <c r="AH406" i="1"/>
  <c r="AI406" i="1"/>
  <c r="AJ406" i="1"/>
  <c r="AK406" i="1"/>
  <c r="AL406" i="1"/>
  <c r="AM406" i="1"/>
  <c r="AN406" i="1"/>
  <c r="AO406" i="1"/>
  <c r="AP406" i="1"/>
  <c r="AQ406" i="1"/>
  <c r="AR406" i="1"/>
  <c r="AS406" i="1"/>
  <c r="AT406" i="1"/>
  <c r="AU406" i="1"/>
  <c r="AV406" i="1"/>
  <c r="AW406" i="1"/>
  <c r="AX406" i="1"/>
  <c r="AY406" i="1"/>
  <c r="AZ406" i="1"/>
  <c r="BA406" i="1"/>
  <c r="BB406" i="1"/>
  <c r="U408" i="1"/>
  <c r="V408" i="1"/>
  <c r="W408" i="1"/>
  <c r="X408" i="1"/>
  <c r="Y408" i="1"/>
  <c r="Z408" i="1"/>
  <c r="AA408" i="1"/>
  <c r="AB408" i="1"/>
  <c r="AC408" i="1"/>
  <c r="AD408" i="1"/>
  <c r="AE408" i="1"/>
  <c r="AF408" i="1"/>
  <c r="AG408" i="1"/>
  <c r="AH408" i="1"/>
  <c r="AI408" i="1"/>
  <c r="AJ408" i="1"/>
  <c r="AK408" i="1"/>
  <c r="AL408" i="1"/>
  <c r="AM408" i="1"/>
  <c r="AN408" i="1"/>
  <c r="AO408" i="1"/>
  <c r="AP408" i="1"/>
  <c r="AQ408" i="1"/>
  <c r="AR408" i="1"/>
  <c r="AS408" i="1"/>
  <c r="AT408" i="1"/>
  <c r="AU408" i="1"/>
  <c r="AV408" i="1"/>
  <c r="AW408" i="1"/>
  <c r="AX408" i="1"/>
  <c r="AY408" i="1"/>
  <c r="AZ408" i="1"/>
  <c r="BA408" i="1"/>
  <c r="BB408" i="1"/>
  <c r="J406" i="1"/>
  <c r="K406" i="1"/>
  <c r="L406" i="1"/>
  <c r="M406" i="1"/>
  <c r="N406" i="1"/>
  <c r="O406" i="1"/>
  <c r="P406" i="1"/>
  <c r="Q406" i="1"/>
  <c r="R406" i="1"/>
  <c r="S406" i="1"/>
  <c r="T406" i="1"/>
  <c r="J408" i="1"/>
  <c r="K408" i="1"/>
  <c r="L408" i="1"/>
  <c r="M408" i="1"/>
  <c r="N408" i="1"/>
  <c r="O408" i="1"/>
  <c r="P408" i="1"/>
  <c r="Q408" i="1"/>
  <c r="R408" i="1"/>
  <c r="S408" i="1"/>
  <c r="T408" i="1"/>
  <c r="F406" i="1"/>
  <c r="G406" i="1"/>
  <c r="H406" i="1"/>
  <c r="I406" i="1"/>
  <c r="F408" i="1"/>
  <c r="G408" i="1"/>
  <c r="H408" i="1"/>
  <c r="I408" i="1"/>
  <c r="E408" i="1"/>
  <c r="E406" i="1"/>
  <c r="BB413" i="1" l="1"/>
  <c r="AT413" i="1"/>
  <c r="AL413" i="1"/>
  <c r="AD413" i="1"/>
  <c r="U413" i="1"/>
  <c r="X413" i="1"/>
  <c r="V413" i="1"/>
  <c r="G413" i="1"/>
  <c r="Q413" i="1"/>
  <c r="AV413" i="1"/>
  <c r="AN413" i="1"/>
  <c r="AF413" i="1"/>
  <c r="AM413" i="1"/>
  <c r="W413" i="1"/>
  <c r="N415" i="1"/>
  <c r="V415" i="1"/>
  <c r="AD415" i="1"/>
  <c r="AL415" i="1"/>
  <c r="AT415" i="1"/>
  <c r="BB415" i="1"/>
  <c r="N413" i="1"/>
  <c r="L413" i="1"/>
  <c r="H413" i="1"/>
  <c r="R413" i="1"/>
  <c r="J413" i="1"/>
  <c r="AW413" i="1"/>
  <c r="AO413" i="1"/>
  <c r="AG413" i="1"/>
  <c r="Y413" i="1"/>
  <c r="L415" i="1"/>
  <c r="AU413" i="1"/>
  <c r="AE413" i="1"/>
  <c r="O413" i="1"/>
  <c r="M413" i="1"/>
  <c r="AZ413" i="1"/>
  <c r="AJ413" i="1"/>
  <c r="I413" i="1"/>
  <c r="S413" i="1"/>
  <c r="K413" i="1"/>
  <c r="AX413" i="1"/>
  <c r="AP413" i="1"/>
  <c r="AP414" i="1" s="1"/>
  <c r="AG416" i="1" s="1"/>
  <c r="AH413" i="1"/>
  <c r="AJ414" i="1" s="1"/>
  <c r="AA416" i="1" s="1"/>
  <c r="Z413" i="1"/>
  <c r="K415" i="1"/>
  <c r="S415" i="1"/>
  <c r="AA415" i="1"/>
  <c r="AI415" i="1"/>
  <c r="AQ415" i="1"/>
  <c r="AY415" i="1"/>
  <c r="F413" i="1"/>
  <c r="P413" i="1"/>
  <c r="T413" i="1"/>
  <c r="O415" i="1"/>
  <c r="W415" i="1"/>
  <c r="AE415" i="1"/>
  <c r="AM415" i="1"/>
  <c r="AU415" i="1"/>
  <c r="BA415" i="1"/>
  <c r="AS413" i="1"/>
  <c r="Q415" i="1"/>
  <c r="Y415" i="1"/>
  <c r="AG415" i="1"/>
  <c r="AO415" i="1"/>
  <c r="AW415" i="1"/>
  <c r="AY413" i="1"/>
  <c r="AQ413" i="1"/>
  <c r="AI413" i="1"/>
  <c r="AA413" i="1"/>
  <c r="R415" i="1"/>
  <c r="Z415" i="1"/>
  <c r="AH415" i="1"/>
  <c r="AP415" i="1"/>
  <c r="AX415" i="1"/>
  <c r="AZ414" i="1"/>
  <c r="AQ416" i="1" s="1"/>
  <c r="AR413" i="1"/>
  <c r="T415" i="1"/>
  <c r="AJ415" i="1"/>
  <c r="AZ415" i="1"/>
  <c r="AC413" i="1"/>
  <c r="AK413" i="1"/>
  <c r="BA413" i="1"/>
  <c r="M415" i="1"/>
  <c r="U415" i="1"/>
  <c r="AC415" i="1"/>
  <c r="AK415" i="1"/>
  <c r="AS415" i="1"/>
  <c r="AB415" i="1"/>
  <c r="AR415" i="1"/>
  <c r="P415" i="1"/>
  <c r="X415" i="1"/>
  <c r="AF415" i="1"/>
  <c r="AN415" i="1"/>
  <c r="AV415" i="1"/>
  <c r="W414" i="1" l="1"/>
  <c r="N416" i="1" s="1"/>
  <c r="AB414" i="1"/>
  <c r="S416" i="1" s="1"/>
  <c r="AQ414" i="1"/>
  <c r="AH416" i="1" s="1"/>
  <c r="Q414" i="1"/>
  <c r="O414" i="1"/>
  <c r="AH414" i="1"/>
  <c r="Y416" i="1" s="1"/>
  <c r="R414" i="1"/>
  <c r="I416" i="1" s="1"/>
  <c r="AG414" i="1"/>
  <c r="X416" i="1" s="1"/>
  <c r="AL414" i="1"/>
  <c r="AC416" i="1" s="1"/>
  <c r="AX414" i="1"/>
  <c r="AO416" i="1" s="1"/>
  <c r="P414" i="1"/>
  <c r="AA414" i="1"/>
  <c r="R416" i="1" s="1"/>
  <c r="Y414" i="1"/>
  <c r="P416" i="1" s="1"/>
  <c r="X414" i="1"/>
  <c r="O416" i="1" s="1"/>
  <c r="AT414" i="1"/>
  <c r="AK416" i="1" s="1"/>
  <c r="AF414" i="1"/>
  <c r="W416" i="1" s="1"/>
  <c r="AW414" i="1"/>
  <c r="AN416" i="1" s="1"/>
  <c r="AY414" i="1"/>
  <c r="AP416" i="1" s="1"/>
  <c r="BB414" i="1"/>
  <c r="AS416" i="1" s="1"/>
  <c r="AE414" i="1"/>
  <c r="V416" i="1" s="1"/>
  <c r="Z414" i="1"/>
  <c r="Q416" i="1" s="1"/>
  <c r="K414" i="1"/>
  <c r="AO414" i="1"/>
  <c r="AF416" i="1" s="1"/>
  <c r="AI414" i="1"/>
  <c r="Z416" i="1" s="1"/>
  <c r="L414" i="1"/>
  <c r="V414" i="1"/>
  <c r="M416" i="1" s="1"/>
  <c r="AK414" i="1"/>
  <c r="AB416" i="1" s="1"/>
  <c r="U414" i="1"/>
  <c r="L416" i="1" s="1"/>
  <c r="N414" i="1"/>
  <c r="AC414" i="1"/>
  <c r="T416" i="1" s="1"/>
  <c r="T414" i="1"/>
  <c r="K416" i="1" s="1"/>
  <c r="M414" i="1"/>
  <c r="AV414" i="1"/>
  <c r="AM416" i="1" s="1"/>
  <c r="S414" i="1"/>
  <c r="J416" i="1" s="1"/>
  <c r="AS414" i="1"/>
  <c r="AJ416" i="1" s="1"/>
  <c r="AR414" i="1"/>
  <c r="AI416" i="1" s="1"/>
  <c r="AM414" i="1"/>
  <c r="AD416" i="1" s="1"/>
  <c r="AU414" i="1"/>
  <c r="AL416" i="1" s="1"/>
  <c r="AN414" i="1"/>
  <c r="AE416" i="1" s="1"/>
  <c r="BA414" i="1"/>
  <c r="AR416" i="1" s="1"/>
  <c r="AD414" i="1"/>
  <c r="U416" i="1" s="1"/>
</calcChain>
</file>

<file path=xl/sharedStrings.xml><?xml version="1.0" encoding="utf-8"?>
<sst xmlns="http://schemas.openxmlformats.org/spreadsheetml/2006/main" count="764" uniqueCount="470">
  <si>
    <t>Province/State</t>
  </si>
  <si>
    <t>Country/Region</t>
  </si>
  <si>
    <t>Lat</t>
  </si>
  <si>
    <t>Long</t>
  </si>
  <si>
    <t>Thailand</t>
  </si>
  <si>
    <t>Japan</t>
  </si>
  <si>
    <t>Singapore</t>
  </si>
  <si>
    <t>Nepal</t>
  </si>
  <si>
    <t>Malaysia</t>
  </si>
  <si>
    <t>British Columbia</t>
  </si>
  <si>
    <t>Canada</t>
  </si>
  <si>
    <t>New South Wales</t>
  </si>
  <si>
    <t>Australia</t>
  </si>
  <si>
    <t>Victoria</t>
  </si>
  <si>
    <t>Queensland</t>
  </si>
  <si>
    <t>Cambodia</t>
  </si>
  <si>
    <t>Sri Lanka</t>
  </si>
  <si>
    <t>Germany</t>
  </si>
  <si>
    <t>Finland</t>
  </si>
  <si>
    <t>United Arab Emirates</t>
  </si>
  <si>
    <t>Philippines</t>
  </si>
  <si>
    <t>India</t>
  </si>
  <si>
    <t>Italy</t>
  </si>
  <si>
    <t>Sweden</t>
  </si>
  <si>
    <t>Spain</t>
  </si>
  <si>
    <t>South Australia</t>
  </si>
  <si>
    <t>Belgium</t>
  </si>
  <si>
    <t>Egypt</t>
  </si>
  <si>
    <t>From Diamond Princess</t>
  </si>
  <si>
    <t>Lebanon</t>
  </si>
  <si>
    <t>Iraq</t>
  </si>
  <si>
    <t>Oman</t>
  </si>
  <si>
    <t>Afghanistan</t>
  </si>
  <si>
    <t>Bahrain</t>
  </si>
  <si>
    <t>Kuwait</t>
  </si>
  <si>
    <t>Algeria</t>
  </si>
  <si>
    <t>Croatia</t>
  </si>
  <si>
    <t>Switzerland</t>
  </si>
  <si>
    <t>Austria</t>
  </si>
  <si>
    <t>Israel</t>
  </si>
  <si>
    <t>Pakistan</t>
  </si>
  <si>
    <t>Brazil</t>
  </si>
  <si>
    <t>Georgia</t>
  </si>
  <si>
    <t>Greece</t>
  </si>
  <si>
    <t>North Macedonia</t>
  </si>
  <si>
    <t>Norway</t>
  </si>
  <si>
    <t>Romania</t>
  </si>
  <si>
    <t>Estonia</t>
  </si>
  <si>
    <t>Netherlands</t>
  </si>
  <si>
    <t>San Marino</t>
  </si>
  <si>
    <t>Belarus</t>
  </si>
  <si>
    <t>Iceland</t>
  </si>
  <si>
    <t>Lithuania</t>
  </si>
  <si>
    <t>Mexico</t>
  </si>
  <si>
    <t>New Zealand</t>
  </si>
  <si>
    <t>Nigeria</t>
  </si>
  <si>
    <t>Western Australia</t>
  </si>
  <si>
    <t>Ireland</t>
  </si>
  <si>
    <t>Luxembourg</t>
  </si>
  <si>
    <t>Monaco</t>
  </si>
  <si>
    <t>Qatar</t>
  </si>
  <si>
    <t>Ecuador</t>
  </si>
  <si>
    <t>Azerbaijan</t>
  </si>
  <si>
    <t>Armenia</t>
  </si>
  <si>
    <t>Dominican Republic</t>
  </si>
  <si>
    <t>Indonesia</t>
  </si>
  <si>
    <t>Portugal</t>
  </si>
  <si>
    <t>Andorra</t>
  </si>
  <si>
    <t>Tasmania</t>
  </si>
  <si>
    <t>Latvia</t>
  </si>
  <si>
    <t>Morocco</t>
  </si>
  <si>
    <t>Saudi Arabia</t>
  </si>
  <si>
    <t>Senegal</t>
  </si>
  <si>
    <t>Argentina</t>
  </si>
  <si>
    <t>Chile</t>
  </si>
  <si>
    <t>Jordan</t>
  </si>
  <si>
    <t>Ukraine</t>
  </si>
  <si>
    <t>Hungary</t>
  </si>
  <si>
    <t>Northern Territory</t>
  </si>
  <si>
    <t>Liechtenstein</t>
  </si>
  <si>
    <t>Poland</t>
  </si>
  <si>
    <t>Tunisia</t>
  </si>
  <si>
    <t>Bosnia and Herzegovina</t>
  </si>
  <si>
    <t>Slovenia</t>
  </si>
  <si>
    <t>South Africa</t>
  </si>
  <si>
    <t>Bhutan</t>
  </si>
  <si>
    <t>Cameroon</t>
  </si>
  <si>
    <t>Colombia</t>
  </si>
  <si>
    <t>Costa Rica</t>
  </si>
  <si>
    <t>Peru</t>
  </si>
  <si>
    <t>Serbia</t>
  </si>
  <si>
    <t>Slovakia</t>
  </si>
  <si>
    <t>Togo</t>
  </si>
  <si>
    <t>French Guiana</t>
  </si>
  <si>
    <t>Malta</t>
  </si>
  <si>
    <t>Martinique</t>
  </si>
  <si>
    <t>Bulgaria</t>
  </si>
  <si>
    <t>Maldives</t>
  </si>
  <si>
    <t>Bangladesh</t>
  </si>
  <si>
    <t>Paraguay</t>
  </si>
  <si>
    <t>Ontario</t>
  </si>
  <si>
    <t>Alberta</t>
  </si>
  <si>
    <t>Quebec</t>
  </si>
  <si>
    <t>Albania</t>
  </si>
  <si>
    <t>Cyprus</t>
  </si>
  <si>
    <t>Brunei</t>
  </si>
  <si>
    <t>Washington</t>
  </si>
  <si>
    <t>US</t>
  </si>
  <si>
    <t>New York</t>
  </si>
  <si>
    <t>California</t>
  </si>
  <si>
    <t>Massachusetts</t>
  </si>
  <si>
    <t>Diamond Princess</t>
  </si>
  <si>
    <t>Grand Princess</t>
  </si>
  <si>
    <t>Colorado</t>
  </si>
  <si>
    <t>Florida</t>
  </si>
  <si>
    <t>New Jersey</t>
  </si>
  <si>
    <t>Oregon</t>
  </si>
  <si>
    <t>Texas</t>
  </si>
  <si>
    <t>Illinois</t>
  </si>
  <si>
    <t>Pennsylvania</t>
  </si>
  <si>
    <t>Iowa</t>
  </si>
  <si>
    <t>Maryland</t>
  </si>
  <si>
    <t>North Carolina</t>
  </si>
  <si>
    <t>South Carolina</t>
  </si>
  <si>
    <t>Tennessee</t>
  </si>
  <si>
    <t>Virginia</t>
  </si>
  <si>
    <t>Arizona</t>
  </si>
  <si>
    <t>Indiana</t>
  </si>
  <si>
    <t>Kentucky</t>
  </si>
  <si>
    <t>District of Columbia</t>
  </si>
  <si>
    <t>Nevada</t>
  </si>
  <si>
    <t>New Hampshire</t>
  </si>
  <si>
    <t>Minnesota</t>
  </si>
  <si>
    <t>Nebraska</t>
  </si>
  <si>
    <t>Ohio</t>
  </si>
  <si>
    <t>Rhode Island</t>
  </si>
  <si>
    <t>Wisconsin</t>
  </si>
  <si>
    <t>Connecticut</t>
  </si>
  <si>
    <t>Hawaii</t>
  </si>
  <si>
    <t>Oklahoma</t>
  </si>
  <si>
    <t>Utah</t>
  </si>
  <si>
    <t>Burkina Faso</t>
  </si>
  <si>
    <t>Holy See</t>
  </si>
  <si>
    <t>Mongolia</t>
  </si>
  <si>
    <t>Panama</t>
  </si>
  <si>
    <t>Kansas</t>
  </si>
  <si>
    <t>Louisiana</t>
  </si>
  <si>
    <t>Missouri</t>
  </si>
  <si>
    <t>Vermont</t>
  </si>
  <si>
    <t>Alaska</t>
  </si>
  <si>
    <t>Arkansas</t>
  </si>
  <si>
    <t>Delaware</t>
  </si>
  <si>
    <t>Idaho</t>
  </si>
  <si>
    <t>Maine</t>
  </si>
  <si>
    <t>Michigan</t>
  </si>
  <si>
    <t>Mississippi</t>
  </si>
  <si>
    <t>Montana</t>
  </si>
  <si>
    <t>New Mexico</t>
  </si>
  <si>
    <t>North Dakota</t>
  </si>
  <si>
    <t>South Dakota</t>
  </si>
  <si>
    <t>West Virginia</t>
  </si>
  <si>
    <t>Wyoming</t>
  </si>
  <si>
    <t>Hubei</t>
  </si>
  <si>
    <t>China</t>
  </si>
  <si>
    <t>Iran</t>
  </si>
  <si>
    <t>Korea, South</t>
  </si>
  <si>
    <t>France</t>
  </si>
  <si>
    <t>Guangdong</t>
  </si>
  <si>
    <t>Henan</t>
  </si>
  <si>
    <t>Zhejiang</t>
  </si>
  <si>
    <t>Hunan</t>
  </si>
  <si>
    <t>Anhui</t>
  </si>
  <si>
    <t>Jiangxi</t>
  </si>
  <si>
    <t>Shandong</t>
  </si>
  <si>
    <t>Cruise Ship</t>
  </si>
  <si>
    <t>Jiangsu</t>
  </si>
  <si>
    <t>Chongqing</t>
  </si>
  <si>
    <t>Sichuan</t>
  </si>
  <si>
    <t>Heilongjiang</t>
  </si>
  <si>
    <t>UK</t>
  </si>
  <si>
    <t>United Kingdom</t>
  </si>
  <si>
    <t>Denmark</t>
  </si>
  <si>
    <t>Beijing</t>
  </si>
  <si>
    <t>Shanghai</t>
  </si>
  <si>
    <t>Hebei</t>
  </si>
  <si>
    <t>Fujian</t>
  </si>
  <si>
    <t>Guangxi</t>
  </si>
  <si>
    <t>Shaanxi</t>
  </si>
  <si>
    <t>Yunnan</t>
  </si>
  <si>
    <t>Hainan</t>
  </si>
  <si>
    <t>Guizhou</t>
  </si>
  <si>
    <t>Tianjin</t>
  </si>
  <si>
    <t>Shanxi</t>
  </si>
  <si>
    <t>Gansu</t>
  </si>
  <si>
    <t>Hong Kong</t>
  </si>
  <si>
    <t>Liaoning</t>
  </si>
  <si>
    <t>Jilin</t>
  </si>
  <si>
    <t>Czechia</t>
  </si>
  <si>
    <t>Xinjiang</t>
  </si>
  <si>
    <t>Inner Mongolia</t>
  </si>
  <si>
    <t>Ningxia</t>
  </si>
  <si>
    <t>Taiwan*</t>
  </si>
  <si>
    <t>Vietnam</t>
  </si>
  <si>
    <t>Russia</t>
  </si>
  <si>
    <t>Qinghai</t>
  </si>
  <si>
    <t>Macau</t>
  </si>
  <si>
    <t>Moldova</t>
  </si>
  <si>
    <t>Bolivia</t>
  </si>
  <si>
    <t>Faroe Islands</t>
  </si>
  <si>
    <t>St Martin</t>
  </si>
  <si>
    <t>Honduras</t>
  </si>
  <si>
    <t>Channel Islands</t>
  </si>
  <si>
    <t>New Brunswick</t>
  </si>
  <si>
    <t>Tibet</t>
  </si>
  <si>
    <t>Congo (Kinshasa)</t>
  </si>
  <si>
    <t>Cote d'Ivoire</t>
  </si>
  <si>
    <t>Saint Barthelemy</t>
  </si>
  <si>
    <t>Jamaica</t>
  </si>
  <si>
    <t>Reunion</t>
  </si>
  <si>
    <t>Turkey</t>
  </si>
  <si>
    <t>Gibraltar</t>
  </si>
  <si>
    <t>Kitsap, WA</t>
  </si>
  <si>
    <t>Solano, CA</t>
  </si>
  <si>
    <t>Santa Cruz, CA</t>
  </si>
  <si>
    <t>Napa, CA</t>
  </si>
  <si>
    <t>Ventura, CA</t>
  </si>
  <si>
    <t>Worcester, MA</t>
  </si>
  <si>
    <t>Gwinnett, GA</t>
  </si>
  <si>
    <t>DeKalb, GA</t>
  </si>
  <si>
    <t>Floyd, GA</t>
  </si>
  <si>
    <t>Fayette, GA</t>
  </si>
  <si>
    <t>Gregg, TX</t>
  </si>
  <si>
    <t>Monmouth, NJ</t>
  </si>
  <si>
    <t>Burlington, NJ</t>
  </si>
  <si>
    <t>Camden, NJ</t>
  </si>
  <si>
    <t>Passaic, NJ</t>
  </si>
  <si>
    <t>Union, NJ</t>
  </si>
  <si>
    <t>Eagle, CO</t>
  </si>
  <si>
    <t>Larimer, CO</t>
  </si>
  <si>
    <t>Arapahoe, CO</t>
  </si>
  <si>
    <t>Gunnison, CO</t>
  </si>
  <si>
    <t>Kane, IL</t>
  </si>
  <si>
    <t>Monroe, PA</t>
  </si>
  <si>
    <t>Philadelphia, PA</t>
  </si>
  <si>
    <t>Norfolk, VA</t>
  </si>
  <si>
    <t>Arlington, VA</t>
  </si>
  <si>
    <t>Spotsylvania, VA</t>
  </si>
  <si>
    <t>Loudoun, VA</t>
  </si>
  <si>
    <t>Prince George's, MD</t>
  </si>
  <si>
    <t>Pottawattamie, IA</t>
  </si>
  <si>
    <t>Camden, NC</t>
  </si>
  <si>
    <t>Pima, AZ</t>
  </si>
  <si>
    <t>Noble, IN</t>
  </si>
  <si>
    <t>Adams, IN</t>
  </si>
  <si>
    <t>Boone, IN</t>
  </si>
  <si>
    <t>Dane, WI</t>
  </si>
  <si>
    <t>Pierce, WI</t>
  </si>
  <si>
    <t>Cuyahoga, OH</t>
  </si>
  <si>
    <t>Weber, UT</t>
  </si>
  <si>
    <t>Bennington County, VT</t>
  </si>
  <si>
    <t>Carver County, MN</t>
  </si>
  <si>
    <t>Charlotte County, FL</t>
  </si>
  <si>
    <t>Cherokee County, GA</t>
  </si>
  <si>
    <t>Collin County, TX</t>
  </si>
  <si>
    <t>Jefferson County, KY</t>
  </si>
  <si>
    <t>Jefferson Parish, LA</t>
  </si>
  <si>
    <t>Shasta County, CA</t>
  </si>
  <si>
    <t>Spartanburg County, SC</t>
  </si>
  <si>
    <t>Harrison County, KY</t>
  </si>
  <si>
    <t>Johnson County, IA</t>
  </si>
  <si>
    <t>Berkshire County, MA</t>
  </si>
  <si>
    <t>Davidson County, TN</t>
  </si>
  <si>
    <t>Douglas County, OR</t>
  </si>
  <si>
    <t>Fresno County, CA</t>
  </si>
  <si>
    <t>Harford County, MD</t>
  </si>
  <si>
    <t>Hendricks County, IN</t>
  </si>
  <si>
    <t>Hudson County, NJ</t>
  </si>
  <si>
    <t>Johnson County, KS</t>
  </si>
  <si>
    <t>Kittitas County, WA</t>
  </si>
  <si>
    <t>Manatee County, FL</t>
  </si>
  <si>
    <t>Marion County, OR</t>
  </si>
  <si>
    <t>Okaloosa County, FL</t>
  </si>
  <si>
    <t>Polk County, GA</t>
  </si>
  <si>
    <t>Riverside County, CA</t>
  </si>
  <si>
    <t>Shelby County, TN</t>
  </si>
  <si>
    <t>St. Louis County, MO</t>
  </si>
  <si>
    <t>Suffolk County, NY</t>
  </si>
  <si>
    <t>Ulster County, NY</t>
  </si>
  <si>
    <t>Volusia County, FL</t>
  </si>
  <si>
    <t>Fairfax County, VA</t>
  </si>
  <si>
    <t>Rockingham County, NH</t>
  </si>
  <si>
    <t>Washington, D.C.</t>
  </si>
  <si>
    <t>Montgomery County, PA</t>
  </si>
  <si>
    <t>Alameda County, CA</t>
  </si>
  <si>
    <t>Broward County, FL</t>
  </si>
  <si>
    <t>Lee County, FL</t>
  </si>
  <si>
    <t>Pinal County, AZ</t>
  </si>
  <si>
    <t>Rockland County, NY</t>
  </si>
  <si>
    <t>Saratoga County, NY</t>
  </si>
  <si>
    <t>Charleston County, SC</t>
  </si>
  <si>
    <t>Clark County, WA</t>
  </si>
  <si>
    <t>Cobb County, GA</t>
  </si>
  <si>
    <t>Davis County, UT</t>
  </si>
  <si>
    <t>El Paso County, CO</t>
  </si>
  <si>
    <t>Honolulu County, HI</t>
  </si>
  <si>
    <t xml:space="preserve">Jackson County, OR </t>
  </si>
  <si>
    <t>Jefferson County, WA</t>
  </si>
  <si>
    <t>Kershaw County, SC</t>
  </si>
  <si>
    <t>Klamath County, OR</t>
  </si>
  <si>
    <t>Madera County, CA</t>
  </si>
  <si>
    <t>Pierce County, WA</t>
  </si>
  <si>
    <t>Tulsa County, OK</t>
  </si>
  <si>
    <t>Douglas County, CO</t>
  </si>
  <si>
    <t>Providence County, RI</t>
  </si>
  <si>
    <t>Chatham County, NC</t>
  </si>
  <si>
    <t>Delaware County, PA</t>
  </si>
  <si>
    <t>Douglas County, NE</t>
  </si>
  <si>
    <t>Fayette County, KY</t>
  </si>
  <si>
    <t>Marion County, IN</t>
  </si>
  <si>
    <t>Middlesex County, MA</t>
  </si>
  <si>
    <t>Nassau County, NY</t>
  </si>
  <si>
    <t>Ramsey County, MN</t>
  </si>
  <si>
    <t>Washoe County, NV</t>
  </si>
  <si>
    <t>Wayne County, PA</t>
  </si>
  <si>
    <t>Yolo County, CA</t>
  </si>
  <si>
    <t>Santa Clara County, CA</t>
  </si>
  <si>
    <t>Clark County, NV</t>
  </si>
  <si>
    <t>Fort Bend County, TX</t>
  </si>
  <si>
    <t>Grant County, WA</t>
  </si>
  <si>
    <t>Santa Rosa County, FL</t>
  </si>
  <si>
    <t>Williamson County, TN</t>
  </si>
  <si>
    <t>New York County, NY</t>
  </si>
  <si>
    <t>Montgomery County, MD</t>
  </si>
  <si>
    <t>Suffolk County, MA</t>
  </si>
  <si>
    <t>Denver County, CO</t>
  </si>
  <si>
    <t>Summit County, CO</t>
  </si>
  <si>
    <t>Bergen County, NJ</t>
  </si>
  <si>
    <t>Harris County, TX</t>
  </si>
  <si>
    <t>San Francisco County, CA</t>
  </si>
  <si>
    <t>Contra Costa County, CA</t>
  </si>
  <si>
    <t>Orange County, CA</t>
  </si>
  <si>
    <t>Norfolk County, MA</t>
  </si>
  <si>
    <t>Maricopa County, AZ</t>
  </si>
  <si>
    <t>Wake County, NC</t>
  </si>
  <si>
    <t>Westchester County, NY</t>
  </si>
  <si>
    <t>Grafton County, NH</t>
  </si>
  <si>
    <t>Hillsborough, FL</t>
  </si>
  <si>
    <t>Placer County, CA</t>
  </si>
  <si>
    <t>San Mateo, CA</t>
  </si>
  <si>
    <t>Sonoma County, CA</t>
  </si>
  <si>
    <t>Umatilla, OR</t>
  </si>
  <si>
    <t>Fulton County, GA</t>
  </si>
  <si>
    <t>Washington County, OR</t>
  </si>
  <si>
    <t>Snohomish County, WA</t>
  </si>
  <si>
    <t>Humboldt County, CA</t>
  </si>
  <si>
    <t>Sacramento County, CA</t>
  </si>
  <si>
    <t>San Diego County, CA</t>
  </si>
  <si>
    <t>San Benito, CA</t>
  </si>
  <si>
    <t>Los Angeles, CA</t>
  </si>
  <si>
    <t>King County, WA</t>
  </si>
  <si>
    <t>Cook County, IL</t>
  </si>
  <si>
    <t>Skagit, WA</t>
  </si>
  <si>
    <t>Thurston, WA</t>
  </si>
  <si>
    <t>Island, WA</t>
  </si>
  <si>
    <t>Whatcom, WA</t>
  </si>
  <si>
    <t>Marin, CA</t>
  </si>
  <si>
    <t>Calaveras, CA</t>
  </si>
  <si>
    <t>Stanislaus, CA</t>
  </si>
  <si>
    <t>San Joaquin, CA</t>
  </si>
  <si>
    <t>Essex, MA</t>
  </si>
  <si>
    <t>Charlton, GA</t>
  </si>
  <si>
    <t>Collier, FL</t>
  </si>
  <si>
    <t>Pinellas, FL</t>
  </si>
  <si>
    <t>Alachua, FL</t>
  </si>
  <si>
    <t>Nassau, FL</t>
  </si>
  <si>
    <t>Pasco, FL</t>
  </si>
  <si>
    <t>Dallas, TX</t>
  </si>
  <si>
    <t>Tarrant, TX</t>
  </si>
  <si>
    <t>Montgomery, TX</t>
  </si>
  <si>
    <t>Middlesex, NJ</t>
  </si>
  <si>
    <t>Jefferson, CO</t>
  </si>
  <si>
    <t>Multnomah, OR</t>
  </si>
  <si>
    <t>Polk, OR</t>
  </si>
  <si>
    <t>Deschutes, OR</t>
  </si>
  <si>
    <t>McHenry, IL</t>
  </si>
  <si>
    <t>Lake, IL</t>
  </si>
  <si>
    <t>Bucks, PA</t>
  </si>
  <si>
    <t>Hanover, VA</t>
  </si>
  <si>
    <t>Lancaster, SC</t>
  </si>
  <si>
    <t>Sullivan, TN</t>
  </si>
  <si>
    <t>Johnson, IN</t>
  </si>
  <si>
    <t>Howard, IN</t>
  </si>
  <si>
    <t>St. Joseph, IN</t>
  </si>
  <si>
    <t>Knox, NE</t>
  </si>
  <si>
    <t>Stark, OH</t>
  </si>
  <si>
    <t>Anoka, MN</t>
  </si>
  <si>
    <t>Olmsted, MN</t>
  </si>
  <si>
    <t>Summit, UT</t>
  </si>
  <si>
    <t>Fairfield, CT</t>
  </si>
  <si>
    <t>Litchfield, CT</t>
  </si>
  <si>
    <t>Orleans, LA</t>
  </si>
  <si>
    <t>Pennington, SD</t>
  </si>
  <si>
    <t>Beadle, SD</t>
  </si>
  <si>
    <t>Charles Mix, SD</t>
  </si>
  <si>
    <t>Davison, SD</t>
  </si>
  <si>
    <t>Minnehaha, SD</t>
  </si>
  <si>
    <t>Bon Homme, SD</t>
  </si>
  <si>
    <t>Socorro, NM</t>
  </si>
  <si>
    <t>Bernalillo, NM</t>
  </si>
  <si>
    <t>Oakland, MI</t>
  </si>
  <si>
    <t>Wayne, MI</t>
  </si>
  <si>
    <t>New Castle, DE</t>
  </si>
  <si>
    <t>US - All</t>
  </si>
  <si>
    <t>1/22/2020</t>
  </si>
  <si>
    <t>1/23/2020</t>
  </si>
  <si>
    <t>1/24/2020</t>
  </si>
  <si>
    <t>1/25/2020</t>
  </si>
  <si>
    <t>1/26/2020</t>
  </si>
  <si>
    <t>1/27/2020</t>
  </si>
  <si>
    <t>1/28/2020</t>
  </si>
  <si>
    <t>1/29/2020</t>
  </si>
  <si>
    <t>1/30/2020</t>
  </si>
  <si>
    <t>1/31/2020</t>
  </si>
  <si>
    <t>2/1/2020</t>
  </si>
  <si>
    <t>2/2/2020</t>
  </si>
  <si>
    <t>2/3/2020</t>
  </si>
  <si>
    <t>2/4/2020</t>
  </si>
  <si>
    <t>2/5/2020</t>
  </si>
  <si>
    <t>2/6/2020</t>
  </si>
  <si>
    <t>2/7/2020</t>
  </si>
  <si>
    <t>2/8/2020</t>
  </si>
  <si>
    <t>2/9/2020</t>
  </si>
  <si>
    <t>2/10/2020</t>
  </si>
  <si>
    <t>2/11/2020</t>
  </si>
  <si>
    <t>2/12/2020</t>
  </si>
  <si>
    <t>2/13/2020</t>
  </si>
  <si>
    <t>2/14/2020</t>
  </si>
  <si>
    <t>2/15/2020</t>
  </si>
  <si>
    <t>2/16/2020</t>
  </si>
  <si>
    <t>2/17/2020</t>
  </si>
  <si>
    <t>2/18/2020</t>
  </si>
  <si>
    <t>2/19/2020</t>
  </si>
  <si>
    <t>2/20/2020</t>
  </si>
  <si>
    <t>2/21/2020</t>
  </si>
  <si>
    <t>2/22/2020</t>
  </si>
  <si>
    <t>2/23/2020</t>
  </si>
  <si>
    <t>2/24/2020</t>
  </si>
  <si>
    <t>2/25/2020</t>
  </si>
  <si>
    <t>2/26/2020</t>
  </si>
  <si>
    <t>2/27/2020</t>
  </si>
  <si>
    <t>2/28/2020</t>
  </si>
  <si>
    <t>2/29/2020</t>
  </si>
  <si>
    <t>3/1/2020</t>
  </si>
  <si>
    <t>3/2/2020</t>
  </si>
  <si>
    <t>3/3/2020</t>
  </si>
  <si>
    <t>3/4/2020</t>
  </si>
  <si>
    <t>3/5/2020</t>
  </si>
  <si>
    <t>3/6/2020</t>
  </si>
  <si>
    <t>3/7/2020</t>
  </si>
  <si>
    <t>3/8/2020</t>
  </si>
  <si>
    <t>3/9/2020</t>
  </si>
  <si>
    <t>3/10/2020</t>
  </si>
  <si>
    <t>3/11/2020</t>
  </si>
  <si>
    <t>China - All</t>
  </si>
  <si>
    <t>Germany (incr)</t>
  </si>
  <si>
    <t>Italy (incr)</t>
  </si>
  <si>
    <t>US (incr)</t>
  </si>
  <si>
    <t>US (5-day moving incr avg)</t>
  </si>
  <si>
    <t>Italy (5-day moving incr avg)</t>
  </si>
  <si>
    <t>US (5-day moving incr avg, lag 10)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</si>
</sst>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'time_series_19-covid-Confirmed-'!$AJ$415:$BB$415</c:f>
              <c:numCache>
                <c:formatCode>General</c:formatCode>
                <c:ptCount val="19"/>
                <c:pt idx="0">
                  <c:v>11.8</c:v>
                </c:pt>
                <c:pt idx="1">
                  <c:v>30.4</c:v>
                </c:pt>
                <c:pt idx="2">
                  <c:v>45.2</c:v>
                </c:pt>
                <c:pt idx="3">
                  <c:v>63.8</c:v>
                </c:pt>
                <c:pt idx="4">
                  <c:v>86.6</c:v>
                </c:pt>
                <c:pt idx="5">
                  <c:v>118.6</c:v>
                </c:pt>
                <c:pt idx="6">
                  <c:v>146.6</c:v>
                </c:pt>
                <c:pt idx="7">
                  <c:v>179.8</c:v>
                </c:pt>
                <c:pt idx="8">
                  <c:v>274.39999999999998</c:v>
                </c:pt>
                <c:pt idx="9">
                  <c:v>316.60000000000002</c:v>
                </c:pt>
                <c:pt idx="10">
                  <c:v>369.4</c:v>
                </c:pt>
                <c:pt idx="11">
                  <c:v>440.2</c:v>
                </c:pt>
                <c:pt idx="12">
                  <c:v>546</c:v>
                </c:pt>
                <c:pt idx="13">
                  <c:v>588.4</c:v>
                </c:pt>
                <c:pt idx="14">
                  <c:v>769.4</c:v>
                </c:pt>
                <c:pt idx="15">
                  <c:v>974.6</c:v>
                </c:pt>
                <c:pt idx="16">
                  <c:v>1216.5999999999999</c:v>
                </c:pt>
                <c:pt idx="17">
                  <c:v>1258.2</c:v>
                </c:pt>
                <c:pt idx="18">
                  <c:v>1565.2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E7-447A-85C3-0D3AFE6EB31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'time_series_19-covid-Confirmed-'!$AJ$416:$BB$416</c:f>
              <c:numCache>
                <c:formatCode>General</c:formatCode>
                <c:ptCount val="19"/>
                <c:pt idx="0">
                  <c:v>8.1999999999999993</c:v>
                </c:pt>
                <c:pt idx="1">
                  <c:v>12</c:v>
                </c:pt>
                <c:pt idx="2">
                  <c:v>17.8</c:v>
                </c:pt>
                <c:pt idx="3">
                  <c:v>29.8</c:v>
                </c:pt>
                <c:pt idx="4">
                  <c:v>37.6</c:v>
                </c:pt>
                <c:pt idx="5">
                  <c:v>60.8</c:v>
                </c:pt>
                <c:pt idx="6">
                  <c:v>80</c:v>
                </c:pt>
                <c:pt idx="7">
                  <c:v>86.8</c:v>
                </c:pt>
                <c:pt idx="8">
                  <c:v>289.60000000000002</c:v>
                </c:pt>
                <c:pt idx="9">
                  <c:v>424.4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E7-447A-85C3-0D3AFE6EB3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7620688"/>
        <c:axId val="627618768"/>
      </c:lineChart>
      <c:catAx>
        <c:axId val="627620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618768"/>
        <c:crosses val="autoZero"/>
        <c:auto val="1"/>
        <c:lblAlgn val="ctr"/>
        <c:lblOffset val="100"/>
        <c:noMultiLvlLbl val="0"/>
      </c:catAx>
      <c:valAx>
        <c:axId val="62761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620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Italy</a:t>
            </a:r>
            <a:r>
              <a:rPr lang="en-US" baseline="0"/>
              <a:t> Cases since 100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Italy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'time_series_19-covid-Confirmed-'!$AK$18:$BB$18</c:f>
              <c:numCache>
                <c:formatCode>General</c:formatCode>
                <c:ptCount val="18"/>
                <c:pt idx="0">
                  <c:v>155</c:v>
                </c:pt>
                <c:pt idx="1">
                  <c:v>229</c:v>
                </c:pt>
                <c:pt idx="2">
                  <c:v>322</c:v>
                </c:pt>
                <c:pt idx="3">
                  <c:v>453</c:v>
                </c:pt>
                <c:pt idx="4">
                  <c:v>655</c:v>
                </c:pt>
                <c:pt idx="5">
                  <c:v>888</c:v>
                </c:pt>
                <c:pt idx="6">
                  <c:v>1128</c:v>
                </c:pt>
                <c:pt idx="7">
                  <c:v>1694</c:v>
                </c:pt>
                <c:pt idx="8">
                  <c:v>2036</c:v>
                </c:pt>
                <c:pt idx="9">
                  <c:v>2502</c:v>
                </c:pt>
                <c:pt idx="10">
                  <c:v>3089</c:v>
                </c:pt>
                <c:pt idx="11">
                  <c:v>3858</c:v>
                </c:pt>
                <c:pt idx="12">
                  <c:v>4636</c:v>
                </c:pt>
                <c:pt idx="13">
                  <c:v>5883</c:v>
                </c:pt>
                <c:pt idx="14">
                  <c:v>7375</c:v>
                </c:pt>
                <c:pt idx="15">
                  <c:v>9172</c:v>
                </c:pt>
                <c:pt idx="16">
                  <c:v>10149</c:v>
                </c:pt>
                <c:pt idx="17">
                  <c:v>12462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F7-49D9-AEE0-F216E29C7DB5}"/>
            </c:ext>
          </c:extLst>
        </c:ser>
        <c:ser>
          <c:idx val="1"/>
          <c:order val="1"/>
          <c:tx>
            <c:v>US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'time_series_19-covid-Confirmed-'!$AU$407:$BB$407</c:f>
              <c:numCache>
                <c:formatCode>General</c:formatCode>
                <c:ptCount val="8"/>
                <c:pt idx="0">
                  <c:v>104</c:v>
                </c:pt>
                <c:pt idx="1">
                  <c:v>172</c:v>
                </c:pt>
                <c:pt idx="2">
                  <c:v>217</c:v>
                </c:pt>
                <c:pt idx="3">
                  <c:v>336</c:v>
                </c:pt>
                <c:pt idx="4">
                  <c:v>452</c:v>
                </c:pt>
                <c:pt idx="5">
                  <c:v>517</c:v>
                </c:pt>
                <c:pt idx="6">
                  <c:v>706</c:v>
                </c:pt>
                <c:pt idx="7">
                  <c:v>1103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D7F7-49D9-AEE0-F216E29C7D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9116984"/>
        <c:axId val="629125304"/>
      </c:lineChart>
      <c:catAx>
        <c:axId val="6291169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125304"/>
        <c:crosses val="autoZero"/>
        <c:auto val="1"/>
        <c:lblAlgn val="ctr"/>
        <c:lblOffset val="100"/>
        <c:noMultiLvlLbl val="0"/>
      </c:catAx>
      <c:valAx>
        <c:axId val="629125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116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41</xdr:col>
      <xdr:colOff>15240</xdr:colOff>
      <xdr:row>417</xdr:row>
      <xdr:rowOff>53340</xdr:rowOff>
    </xdr:from>
    <xdr:to>
      <xdr:col>47</xdr:col>
      <xdr:colOff>60960</xdr:colOff>
      <xdr:row>432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FEA03A-F20C-4BDF-9341-7E2B874E70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47</xdr:col>
      <xdr:colOff>723900</xdr:colOff>
      <xdr:row>417</xdr:row>
      <xdr:rowOff>7620</xdr:rowOff>
    </xdr:from>
    <xdr:to>
      <xdr:col>54</xdr:col>
      <xdr:colOff>38100</xdr:colOff>
      <xdr:row>432</xdr:row>
      <xdr:rowOff>7620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F9AA8EA-04E4-45EA-AC31-D90AD6EB22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BB405" totalsRowShown="0" headerRowDxfId="0">
  <autoFilter ref="A1:BB405" xr:uid="{00000000-0009-0000-0100-000001000000}">
    <filterColumn colId="0">
      <filters blank="1">
        <filter val="Arlington, VA"/>
        <filter val="California"/>
        <filter val="Fairfax County, VA"/>
        <filter val="Hanover, VA"/>
        <filter val="Loudoun, VA"/>
        <filter val="Norfolk, VA"/>
        <filter val="Spotsylvania, VA"/>
        <filter val="Virginia"/>
      </filters>
    </filterColumn>
    <filterColumn colId="1">
      <filters>
        <filter val="Germany"/>
        <filter val="Italy"/>
        <filter val="US"/>
      </filters>
    </filterColumn>
  </autoFilter>
  <tableColumns count="54">
    <tableColumn id="1" xr3:uid="{00000000-0010-0000-0000-000001000000}" name="Province/State"/>
    <tableColumn id="2" xr3:uid="{00000000-0010-0000-0000-000002000000}" name="Country/Region"/>
    <tableColumn id="3" xr3:uid="{00000000-0010-0000-0000-000003000000}" name="Lat"/>
    <tableColumn id="4" xr3:uid="{00000000-0010-0000-0000-000004000000}" name="Long"/>
    <tableColumn id="5" xr3:uid="{00000000-0010-0000-0000-000005000000}" name="1/22/2020"/>
    <tableColumn id="6" xr3:uid="{00000000-0010-0000-0000-000006000000}" name="1/23/2020"/>
    <tableColumn id="7" xr3:uid="{00000000-0010-0000-0000-000007000000}" name="1/24/2020"/>
    <tableColumn id="8" xr3:uid="{00000000-0010-0000-0000-000008000000}" name="1/25/2020"/>
    <tableColumn id="9" xr3:uid="{00000000-0010-0000-0000-000009000000}" name="1/26/2020"/>
    <tableColumn id="10" xr3:uid="{00000000-0010-0000-0000-00000A000000}" name="1/27/2020"/>
    <tableColumn id="11" xr3:uid="{00000000-0010-0000-0000-00000B000000}" name="1/28/2020"/>
    <tableColumn id="12" xr3:uid="{00000000-0010-0000-0000-00000C000000}" name="1/29/2020"/>
    <tableColumn id="13" xr3:uid="{00000000-0010-0000-0000-00000D000000}" name="1/30/2020"/>
    <tableColumn id="14" xr3:uid="{00000000-0010-0000-0000-00000E000000}" name="1/31/2020"/>
    <tableColumn id="15" xr3:uid="{00000000-0010-0000-0000-00000F000000}" name="2/1/2020"/>
    <tableColumn id="16" xr3:uid="{00000000-0010-0000-0000-000010000000}" name="2/2/2020"/>
    <tableColumn id="17" xr3:uid="{00000000-0010-0000-0000-000011000000}" name="2/3/2020"/>
    <tableColumn id="18" xr3:uid="{00000000-0010-0000-0000-000012000000}" name="2/4/2020"/>
    <tableColumn id="19" xr3:uid="{00000000-0010-0000-0000-000013000000}" name="2/5/2020"/>
    <tableColumn id="20" xr3:uid="{00000000-0010-0000-0000-000014000000}" name="2/6/2020"/>
    <tableColumn id="21" xr3:uid="{00000000-0010-0000-0000-000015000000}" name="2/7/2020"/>
    <tableColumn id="22" xr3:uid="{00000000-0010-0000-0000-000016000000}" name="2/8/2020"/>
    <tableColumn id="23" xr3:uid="{00000000-0010-0000-0000-000017000000}" name="2/9/2020"/>
    <tableColumn id="24" xr3:uid="{00000000-0010-0000-0000-000018000000}" name="2/10/2020"/>
    <tableColumn id="25" xr3:uid="{00000000-0010-0000-0000-000019000000}" name="2/11/2020"/>
    <tableColumn id="26" xr3:uid="{00000000-0010-0000-0000-00001A000000}" name="2/12/2020"/>
    <tableColumn id="27" xr3:uid="{00000000-0010-0000-0000-00001B000000}" name="2/13/2020"/>
    <tableColumn id="28" xr3:uid="{00000000-0010-0000-0000-00001C000000}" name="2/14/2020"/>
    <tableColumn id="29" xr3:uid="{00000000-0010-0000-0000-00001D000000}" name="2/15/2020"/>
    <tableColumn id="30" xr3:uid="{00000000-0010-0000-0000-00001E000000}" name="2/16/2020"/>
    <tableColumn id="31" xr3:uid="{00000000-0010-0000-0000-00001F000000}" name="2/17/2020"/>
    <tableColumn id="32" xr3:uid="{00000000-0010-0000-0000-000020000000}" name="2/18/2020"/>
    <tableColumn id="33" xr3:uid="{00000000-0010-0000-0000-000021000000}" name="2/19/2020"/>
    <tableColumn id="34" xr3:uid="{00000000-0010-0000-0000-000022000000}" name="2/20/2020"/>
    <tableColumn id="35" xr3:uid="{00000000-0010-0000-0000-000023000000}" name="2/21/2020"/>
    <tableColumn id="36" xr3:uid="{00000000-0010-0000-0000-000024000000}" name="2/22/2020"/>
    <tableColumn id="37" xr3:uid="{00000000-0010-0000-0000-000025000000}" name="2/23/2020"/>
    <tableColumn id="38" xr3:uid="{00000000-0010-0000-0000-000026000000}" name="2/24/2020"/>
    <tableColumn id="39" xr3:uid="{00000000-0010-0000-0000-000027000000}" name="2/25/2020"/>
    <tableColumn id="40" xr3:uid="{00000000-0010-0000-0000-000028000000}" name="2/26/2020"/>
    <tableColumn id="41" xr3:uid="{00000000-0010-0000-0000-000029000000}" name="2/27/2020"/>
    <tableColumn id="42" xr3:uid="{00000000-0010-0000-0000-00002A000000}" name="2/28/2020"/>
    <tableColumn id="43" xr3:uid="{00000000-0010-0000-0000-00002B000000}" name="2/29/2020"/>
    <tableColumn id="44" xr3:uid="{00000000-0010-0000-0000-00002C000000}" name="3/1/2020"/>
    <tableColumn id="45" xr3:uid="{00000000-0010-0000-0000-00002D000000}" name="3/2/2020"/>
    <tableColumn id="46" xr3:uid="{00000000-0010-0000-0000-00002E000000}" name="3/3/2020"/>
    <tableColumn id="47" xr3:uid="{00000000-0010-0000-0000-00002F000000}" name="3/4/2020"/>
    <tableColumn id="48" xr3:uid="{00000000-0010-0000-0000-000030000000}" name="3/5/2020"/>
    <tableColumn id="49" xr3:uid="{00000000-0010-0000-0000-000031000000}" name="3/6/2020"/>
    <tableColumn id="50" xr3:uid="{00000000-0010-0000-0000-000032000000}" name="3/7/2020"/>
    <tableColumn id="51" xr3:uid="{00000000-0010-0000-0000-000033000000}" name="3/8/2020"/>
    <tableColumn id="52" xr3:uid="{00000000-0010-0000-0000-000034000000}" name="3/9/2020"/>
    <tableColumn id="53" xr3:uid="{00000000-0010-0000-0000-000035000000}" name="3/10/2020"/>
    <tableColumn id="54" xr3:uid="{00000000-0010-0000-0000-000036000000}" name="3/11/202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416"/>
  <sheetViews>
    <sheetView tabSelected="1" topLeftCell="AM121" workbookViewId="0">
      <selection activeCell="AV411" sqref="AV411"/>
    </sheetView>
  </sheetViews>
  <sheetFormatPr defaultRowHeight="14.4" x14ac:dyDescent="0.3"/>
  <cols>
    <col min="1" max="1" width="15.44140625" customWidth="1"/>
    <col min="2" max="2" width="16.33203125" customWidth="1"/>
    <col min="3" max="4" width="0" hidden="1" customWidth="1"/>
    <col min="5" max="14" width="11.6640625" customWidth="1"/>
    <col min="15" max="23" width="10.6640625" customWidth="1"/>
    <col min="24" max="43" width="11.6640625" customWidth="1"/>
    <col min="44" max="52" width="10.6640625" customWidth="1"/>
    <col min="53" max="54" width="11.6640625" customWidth="1"/>
  </cols>
  <sheetData>
    <row r="1" spans="1:54" x14ac:dyDescent="0.3">
      <c r="A1" t="s">
        <v>0</v>
      </c>
      <c r="B1" t="s">
        <v>1</v>
      </c>
      <c r="C1" t="s">
        <v>2</v>
      </c>
      <c r="D1" t="s">
        <v>3</v>
      </c>
      <c r="E1" s="1" t="s">
        <v>413</v>
      </c>
      <c r="F1" s="1" t="s">
        <v>414</v>
      </c>
      <c r="G1" s="1" t="s">
        <v>415</v>
      </c>
      <c r="H1" s="1" t="s">
        <v>416</v>
      </c>
      <c r="I1" s="1" t="s">
        <v>417</v>
      </c>
      <c r="J1" s="1" t="s">
        <v>418</v>
      </c>
      <c r="K1" s="1" t="s">
        <v>419</v>
      </c>
      <c r="L1" s="1" t="s">
        <v>420</v>
      </c>
      <c r="M1" s="1" t="s">
        <v>421</v>
      </c>
      <c r="N1" s="1" t="s">
        <v>422</v>
      </c>
      <c r="O1" s="1" t="s">
        <v>423</v>
      </c>
      <c r="P1" s="1" t="s">
        <v>424</v>
      </c>
      <c r="Q1" s="1" t="s">
        <v>425</v>
      </c>
      <c r="R1" s="1" t="s">
        <v>426</v>
      </c>
      <c r="S1" s="1" t="s">
        <v>427</v>
      </c>
      <c r="T1" s="1" t="s">
        <v>428</v>
      </c>
      <c r="U1" s="1" t="s">
        <v>429</v>
      </c>
      <c r="V1" s="1" t="s">
        <v>430</v>
      </c>
      <c r="W1" s="1" t="s">
        <v>431</v>
      </c>
      <c r="X1" s="1" t="s">
        <v>432</v>
      </c>
      <c r="Y1" s="1" t="s">
        <v>433</v>
      </c>
      <c r="Z1" s="1" t="s">
        <v>434</v>
      </c>
      <c r="AA1" s="1" t="s">
        <v>435</v>
      </c>
      <c r="AB1" s="1" t="s">
        <v>436</v>
      </c>
      <c r="AC1" s="1" t="s">
        <v>437</v>
      </c>
      <c r="AD1" s="1" t="s">
        <v>438</v>
      </c>
      <c r="AE1" s="1" t="s">
        <v>439</v>
      </c>
      <c r="AF1" s="1" t="s">
        <v>440</v>
      </c>
      <c r="AG1" s="1" t="s">
        <v>441</v>
      </c>
      <c r="AH1" s="1" t="s">
        <v>442</v>
      </c>
      <c r="AI1" s="1" t="s">
        <v>443</v>
      </c>
      <c r="AJ1" s="1" t="s">
        <v>444</v>
      </c>
      <c r="AK1" s="1" t="s">
        <v>445</v>
      </c>
      <c r="AL1" s="1" t="s">
        <v>446</v>
      </c>
      <c r="AM1" s="1" t="s">
        <v>447</v>
      </c>
      <c r="AN1" s="1" t="s">
        <v>448</v>
      </c>
      <c r="AO1" s="1" t="s">
        <v>449</v>
      </c>
      <c r="AP1" s="1" t="s">
        <v>450</v>
      </c>
      <c r="AQ1" s="1" t="s">
        <v>451</v>
      </c>
      <c r="AR1" s="1" t="s">
        <v>452</v>
      </c>
      <c r="AS1" s="1" t="s">
        <v>453</v>
      </c>
      <c r="AT1" s="1" t="s">
        <v>454</v>
      </c>
      <c r="AU1" s="1" t="s">
        <v>455</v>
      </c>
      <c r="AV1" s="1" t="s">
        <v>456</v>
      </c>
      <c r="AW1" s="1" t="s">
        <v>457</v>
      </c>
      <c r="AX1" s="1" t="s">
        <v>458</v>
      </c>
      <c r="AY1" s="1" t="s">
        <v>459</v>
      </c>
      <c r="AZ1" s="1" t="s">
        <v>460</v>
      </c>
      <c r="BA1" s="1" t="s">
        <v>461</v>
      </c>
      <c r="BB1" s="1" t="s">
        <v>462</v>
      </c>
    </row>
    <row r="2" spans="1:54" hidden="1" x14ac:dyDescent="0.3">
      <c r="B2" t="s">
        <v>4</v>
      </c>
      <c r="C2">
        <v>15</v>
      </c>
      <c r="D2">
        <v>101</v>
      </c>
      <c r="E2">
        <v>2</v>
      </c>
      <c r="F2">
        <v>3</v>
      </c>
      <c r="G2">
        <v>5</v>
      </c>
      <c r="H2">
        <v>7</v>
      </c>
      <c r="I2">
        <v>8</v>
      </c>
      <c r="J2">
        <v>8</v>
      </c>
      <c r="K2">
        <v>14</v>
      </c>
      <c r="L2">
        <v>14</v>
      </c>
      <c r="M2">
        <v>14</v>
      </c>
      <c r="N2">
        <v>19</v>
      </c>
      <c r="O2">
        <v>19</v>
      </c>
      <c r="P2">
        <v>19</v>
      </c>
      <c r="Q2">
        <v>19</v>
      </c>
      <c r="R2">
        <v>25</v>
      </c>
      <c r="S2">
        <v>25</v>
      </c>
      <c r="T2">
        <v>25</v>
      </c>
      <c r="U2">
        <v>25</v>
      </c>
      <c r="V2">
        <v>32</v>
      </c>
      <c r="W2">
        <v>32</v>
      </c>
      <c r="X2">
        <v>32</v>
      </c>
      <c r="Y2">
        <v>33</v>
      </c>
      <c r="Z2">
        <v>33</v>
      </c>
      <c r="AA2">
        <v>33</v>
      </c>
      <c r="AB2">
        <v>33</v>
      </c>
      <c r="AC2">
        <v>33</v>
      </c>
      <c r="AD2">
        <v>34</v>
      </c>
      <c r="AE2">
        <v>35</v>
      </c>
      <c r="AF2">
        <v>35</v>
      </c>
      <c r="AG2">
        <v>35</v>
      </c>
      <c r="AH2">
        <v>35</v>
      </c>
      <c r="AI2">
        <v>35</v>
      </c>
      <c r="AJ2">
        <v>35</v>
      </c>
      <c r="AK2">
        <v>35</v>
      </c>
      <c r="AL2">
        <v>35</v>
      </c>
      <c r="AM2">
        <v>37</v>
      </c>
      <c r="AN2">
        <v>40</v>
      </c>
      <c r="AO2">
        <v>40</v>
      </c>
      <c r="AP2">
        <v>41</v>
      </c>
      <c r="AQ2">
        <v>42</v>
      </c>
      <c r="AR2">
        <v>42</v>
      </c>
      <c r="AS2">
        <v>43</v>
      </c>
      <c r="AT2">
        <v>43</v>
      </c>
      <c r="AU2">
        <v>43</v>
      </c>
      <c r="AV2">
        <v>47</v>
      </c>
      <c r="AW2">
        <v>48</v>
      </c>
      <c r="AX2">
        <v>50</v>
      </c>
      <c r="AY2">
        <v>50</v>
      </c>
      <c r="AZ2">
        <v>50</v>
      </c>
      <c r="BA2">
        <v>53</v>
      </c>
      <c r="BB2">
        <v>59</v>
      </c>
    </row>
    <row r="3" spans="1:54" hidden="1" x14ac:dyDescent="0.3">
      <c r="B3" t="s">
        <v>5</v>
      </c>
      <c r="C3">
        <v>36</v>
      </c>
      <c r="D3">
        <v>138</v>
      </c>
      <c r="E3">
        <v>2</v>
      </c>
      <c r="F3">
        <v>1</v>
      </c>
      <c r="G3">
        <v>2</v>
      </c>
      <c r="H3">
        <v>2</v>
      </c>
      <c r="I3">
        <v>4</v>
      </c>
      <c r="J3">
        <v>4</v>
      </c>
      <c r="K3">
        <v>7</v>
      </c>
      <c r="L3">
        <v>7</v>
      </c>
      <c r="M3">
        <v>11</v>
      </c>
      <c r="N3">
        <v>15</v>
      </c>
      <c r="O3">
        <v>20</v>
      </c>
      <c r="P3">
        <v>20</v>
      </c>
      <c r="Q3">
        <v>20</v>
      </c>
      <c r="R3">
        <v>22</v>
      </c>
      <c r="S3">
        <v>22</v>
      </c>
      <c r="T3">
        <v>45</v>
      </c>
      <c r="U3">
        <v>25</v>
      </c>
      <c r="V3">
        <v>25</v>
      </c>
      <c r="W3">
        <v>26</v>
      </c>
      <c r="X3">
        <v>26</v>
      </c>
      <c r="Y3">
        <v>26</v>
      </c>
      <c r="Z3">
        <v>28</v>
      </c>
      <c r="AA3">
        <v>28</v>
      </c>
      <c r="AB3">
        <v>29</v>
      </c>
      <c r="AC3">
        <v>43</v>
      </c>
      <c r="AD3">
        <v>59</v>
      </c>
      <c r="AE3">
        <v>66</v>
      </c>
      <c r="AF3">
        <v>74</v>
      </c>
      <c r="AG3">
        <v>84</v>
      </c>
      <c r="AH3">
        <v>94</v>
      </c>
      <c r="AI3">
        <v>105</v>
      </c>
      <c r="AJ3">
        <v>122</v>
      </c>
      <c r="AK3">
        <v>147</v>
      </c>
      <c r="AL3">
        <v>159</v>
      </c>
      <c r="AM3">
        <v>170</v>
      </c>
      <c r="AN3">
        <v>189</v>
      </c>
      <c r="AO3">
        <v>214</v>
      </c>
      <c r="AP3">
        <v>228</v>
      </c>
      <c r="AQ3">
        <v>241</v>
      </c>
      <c r="AR3">
        <v>256</v>
      </c>
      <c r="AS3">
        <v>274</v>
      </c>
      <c r="AT3">
        <v>293</v>
      </c>
      <c r="AU3">
        <v>331</v>
      </c>
      <c r="AV3">
        <v>360</v>
      </c>
      <c r="AW3">
        <v>420</v>
      </c>
      <c r="AX3">
        <v>461</v>
      </c>
      <c r="AY3">
        <v>502</v>
      </c>
      <c r="AZ3">
        <v>511</v>
      </c>
      <c r="BA3">
        <v>581</v>
      </c>
      <c r="BB3">
        <v>639</v>
      </c>
    </row>
    <row r="4" spans="1:54" hidden="1" x14ac:dyDescent="0.3">
      <c r="B4" t="s">
        <v>6</v>
      </c>
      <c r="C4">
        <v>1.2833000000000001</v>
      </c>
      <c r="D4">
        <v>103.83329999999999</v>
      </c>
      <c r="E4">
        <v>0</v>
      </c>
      <c r="F4">
        <v>1</v>
      </c>
      <c r="G4">
        <v>3</v>
      </c>
      <c r="H4">
        <v>3</v>
      </c>
      <c r="I4">
        <v>4</v>
      </c>
      <c r="J4">
        <v>5</v>
      </c>
      <c r="K4">
        <v>7</v>
      </c>
      <c r="L4">
        <v>7</v>
      </c>
      <c r="M4">
        <v>10</v>
      </c>
      <c r="N4">
        <v>13</v>
      </c>
      <c r="O4">
        <v>16</v>
      </c>
      <c r="P4">
        <v>18</v>
      </c>
      <c r="Q4">
        <v>18</v>
      </c>
      <c r="R4">
        <v>24</v>
      </c>
      <c r="S4">
        <v>28</v>
      </c>
      <c r="T4">
        <v>28</v>
      </c>
      <c r="U4">
        <v>30</v>
      </c>
      <c r="V4">
        <v>33</v>
      </c>
      <c r="W4">
        <v>40</v>
      </c>
      <c r="X4">
        <v>45</v>
      </c>
      <c r="Y4">
        <v>47</v>
      </c>
      <c r="Z4">
        <v>50</v>
      </c>
      <c r="AA4">
        <v>58</v>
      </c>
      <c r="AB4">
        <v>67</v>
      </c>
      <c r="AC4">
        <v>72</v>
      </c>
      <c r="AD4">
        <v>75</v>
      </c>
      <c r="AE4">
        <v>77</v>
      </c>
      <c r="AF4">
        <v>81</v>
      </c>
      <c r="AG4">
        <v>84</v>
      </c>
      <c r="AH4">
        <v>84</v>
      </c>
      <c r="AI4">
        <v>85</v>
      </c>
      <c r="AJ4">
        <v>85</v>
      </c>
      <c r="AK4">
        <v>89</v>
      </c>
      <c r="AL4">
        <v>89</v>
      </c>
      <c r="AM4">
        <v>91</v>
      </c>
      <c r="AN4">
        <v>93</v>
      </c>
      <c r="AO4">
        <v>93</v>
      </c>
      <c r="AP4">
        <v>93</v>
      </c>
      <c r="AQ4">
        <v>102</v>
      </c>
      <c r="AR4">
        <v>106</v>
      </c>
      <c r="AS4">
        <v>108</v>
      </c>
      <c r="AT4">
        <v>110</v>
      </c>
      <c r="AU4">
        <v>110</v>
      </c>
      <c r="AV4">
        <v>117</v>
      </c>
      <c r="AW4">
        <v>130</v>
      </c>
      <c r="AX4">
        <v>138</v>
      </c>
      <c r="AY4">
        <v>150</v>
      </c>
      <c r="AZ4">
        <v>150</v>
      </c>
      <c r="BA4">
        <v>160</v>
      </c>
      <c r="BB4">
        <v>178</v>
      </c>
    </row>
    <row r="5" spans="1:54" hidden="1" x14ac:dyDescent="0.3">
      <c r="B5" t="s">
        <v>7</v>
      </c>
      <c r="C5">
        <v>28.166699999999999</v>
      </c>
      <c r="D5">
        <v>84.25</v>
      </c>
      <c r="E5">
        <v>0</v>
      </c>
      <c r="F5">
        <v>0</v>
      </c>
      <c r="G5">
        <v>0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T5">
        <v>1</v>
      </c>
      <c r="AU5">
        <v>1</v>
      </c>
      <c r="AV5">
        <v>1</v>
      </c>
      <c r="AW5">
        <v>1</v>
      </c>
      <c r="AX5">
        <v>1</v>
      </c>
      <c r="AY5">
        <v>1</v>
      </c>
      <c r="AZ5">
        <v>1</v>
      </c>
      <c r="BA5">
        <v>1</v>
      </c>
      <c r="BB5">
        <v>1</v>
      </c>
    </row>
    <row r="6" spans="1:54" hidden="1" x14ac:dyDescent="0.3">
      <c r="B6" t="s">
        <v>8</v>
      </c>
      <c r="C6">
        <v>2.5</v>
      </c>
      <c r="D6">
        <v>112.5</v>
      </c>
      <c r="E6">
        <v>0</v>
      </c>
      <c r="F6">
        <v>0</v>
      </c>
      <c r="G6">
        <v>0</v>
      </c>
      <c r="H6">
        <v>3</v>
      </c>
      <c r="I6">
        <v>4</v>
      </c>
      <c r="J6">
        <v>4</v>
      </c>
      <c r="K6">
        <v>4</v>
      </c>
      <c r="L6">
        <v>7</v>
      </c>
      <c r="M6">
        <v>8</v>
      </c>
      <c r="N6">
        <v>8</v>
      </c>
      <c r="O6">
        <v>8</v>
      </c>
      <c r="P6">
        <v>8</v>
      </c>
      <c r="Q6">
        <v>8</v>
      </c>
      <c r="R6">
        <v>10</v>
      </c>
      <c r="S6">
        <v>12</v>
      </c>
      <c r="T6">
        <v>12</v>
      </c>
      <c r="U6">
        <v>12</v>
      </c>
      <c r="V6">
        <v>16</v>
      </c>
      <c r="W6">
        <v>16</v>
      </c>
      <c r="X6">
        <v>18</v>
      </c>
      <c r="Y6">
        <v>18</v>
      </c>
      <c r="Z6">
        <v>18</v>
      </c>
      <c r="AA6">
        <v>19</v>
      </c>
      <c r="AB6">
        <v>19</v>
      </c>
      <c r="AC6">
        <v>22</v>
      </c>
      <c r="AD6">
        <v>22</v>
      </c>
      <c r="AE6">
        <v>22</v>
      </c>
      <c r="AF6">
        <v>22</v>
      </c>
      <c r="AG6">
        <v>22</v>
      </c>
      <c r="AH6">
        <v>22</v>
      </c>
      <c r="AI6">
        <v>22</v>
      </c>
      <c r="AJ6">
        <v>22</v>
      </c>
      <c r="AK6">
        <v>22</v>
      </c>
      <c r="AL6">
        <v>22</v>
      </c>
      <c r="AM6">
        <v>22</v>
      </c>
      <c r="AN6">
        <v>22</v>
      </c>
      <c r="AO6">
        <v>23</v>
      </c>
      <c r="AP6">
        <v>23</v>
      </c>
      <c r="AQ6">
        <v>25</v>
      </c>
      <c r="AR6">
        <v>29</v>
      </c>
      <c r="AS6">
        <v>29</v>
      </c>
      <c r="AT6">
        <v>36</v>
      </c>
      <c r="AU6">
        <v>50</v>
      </c>
      <c r="AV6">
        <v>50</v>
      </c>
      <c r="AW6">
        <v>83</v>
      </c>
      <c r="AX6">
        <v>93</v>
      </c>
      <c r="AY6">
        <v>99</v>
      </c>
      <c r="AZ6">
        <v>117</v>
      </c>
      <c r="BA6">
        <v>129</v>
      </c>
      <c r="BB6">
        <v>149</v>
      </c>
    </row>
    <row r="7" spans="1:54" hidden="1" x14ac:dyDescent="0.3">
      <c r="A7" t="s">
        <v>9</v>
      </c>
      <c r="B7" t="s">
        <v>10</v>
      </c>
      <c r="C7">
        <v>49.282699999999998</v>
      </c>
      <c r="D7">
        <v>-123.1207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2</v>
      </c>
      <c r="T7">
        <v>2</v>
      </c>
      <c r="U7">
        <v>4</v>
      </c>
      <c r="V7">
        <v>4</v>
      </c>
      <c r="W7">
        <v>4</v>
      </c>
      <c r="X7">
        <v>4</v>
      </c>
      <c r="Y7">
        <v>4</v>
      </c>
      <c r="Z7">
        <v>4</v>
      </c>
      <c r="AA7">
        <v>4</v>
      </c>
      <c r="AB7">
        <v>4</v>
      </c>
      <c r="AC7">
        <v>4</v>
      </c>
      <c r="AD7">
        <v>4</v>
      </c>
      <c r="AE7">
        <v>5</v>
      </c>
      <c r="AF7">
        <v>5</v>
      </c>
      <c r="AG7">
        <v>5</v>
      </c>
      <c r="AH7">
        <v>5</v>
      </c>
      <c r="AI7">
        <v>6</v>
      </c>
      <c r="AJ7">
        <v>6</v>
      </c>
      <c r="AK7">
        <v>6</v>
      </c>
      <c r="AL7">
        <v>6</v>
      </c>
      <c r="AM7">
        <v>7</v>
      </c>
      <c r="AN7">
        <v>7</v>
      </c>
      <c r="AO7">
        <v>7</v>
      </c>
      <c r="AP7">
        <v>7</v>
      </c>
      <c r="AQ7">
        <v>8</v>
      </c>
      <c r="AR7">
        <v>8</v>
      </c>
      <c r="AS7">
        <v>8</v>
      </c>
      <c r="AT7">
        <v>9</v>
      </c>
      <c r="AU7">
        <v>12</v>
      </c>
      <c r="AV7">
        <v>13</v>
      </c>
      <c r="AW7">
        <v>21</v>
      </c>
      <c r="AX7">
        <v>21</v>
      </c>
      <c r="AY7">
        <v>27</v>
      </c>
      <c r="AZ7">
        <v>32</v>
      </c>
      <c r="BA7">
        <v>32</v>
      </c>
      <c r="BB7">
        <v>39</v>
      </c>
    </row>
    <row r="8" spans="1:54" hidden="1" x14ac:dyDescent="0.3">
      <c r="A8" t="s">
        <v>11</v>
      </c>
      <c r="B8" t="s">
        <v>12</v>
      </c>
      <c r="C8">
        <v>-33.8688</v>
      </c>
      <c r="D8">
        <v>151.20930000000001</v>
      </c>
      <c r="E8">
        <v>0</v>
      </c>
      <c r="F8">
        <v>0</v>
      </c>
      <c r="G8">
        <v>0</v>
      </c>
      <c r="H8">
        <v>0</v>
      </c>
      <c r="I8">
        <v>3</v>
      </c>
      <c r="J8">
        <v>4</v>
      </c>
      <c r="K8">
        <v>4</v>
      </c>
      <c r="L8">
        <v>4</v>
      </c>
      <c r="M8">
        <v>4</v>
      </c>
      <c r="N8">
        <v>4</v>
      </c>
      <c r="O8">
        <v>4</v>
      </c>
      <c r="P8">
        <v>4</v>
      </c>
      <c r="Q8">
        <v>4</v>
      </c>
      <c r="R8">
        <v>4</v>
      </c>
      <c r="S8">
        <v>4</v>
      </c>
      <c r="T8">
        <v>4</v>
      </c>
      <c r="U8">
        <v>4</v>
      </c>
      <c r="V8">
        <v>4</v>
      </c>
      <c r="W8">
        <v>4</v>
      </c>
      <c r="X8">
        <v>4</v>
      </c>
      <c r="Y8">
        <v>4</v>
      </c>
      <c r="Z8">
        <v>4</v>
      </c>
      <c r="AA8">
        <v>4</v>
      </c>
      <c r="AB8">
        <v>4</v>
      </c>
      <c r="AC8">
        <v>4</v>
      </c>
      <c r="AD8">
        <v>4</v>
      </c>
      <c r="AE8">
        <v>4</v>
      </c>
      <c r="AF8">
        <v>4</v>
      </c>
      <c r="AG8">
        <v>4</v>
      </c>
      <c r="AH8">
        <v>4</v>
      </c>
      <c r="AI8">
        <v>4</v>
      </c>
      <c r="AJ8">
        <v>4</v>
      </c>
      <c r="AK8">
        <v>4</v>
      </c>
      <c r="AL8">
        <v>4</v>
      </c>
      <c r="AM8">
        <v>4</v>
      </c>
      <c r="AN8">
        <v>4</v>
      </c>
      <c r="AO8">
        <v>4</v>
      </c>
      <c r="AP8">
        <v>4</v>
      </c>
      <c r="AQ8">
        <v>4</v>
      </c>
      <c r="AR8">
        <v>6</v>
      </c>
      <c r="AS8">
        <v>6</v>
      </c>
      <c r="AT8">
        <v>13</v>
      </c>
      <c r="AU8">
        <v>22</v>
      </c>
      <c r="AV8">
        <v>22</v>
      </c>
      <c r="AW8">
        <v>26</v>
      </c>
      <c r="AX8">
        <v>28</v>
      </c>
      <c r="AY8">
        <v>38</v>
      </c>
      <c r="AZ8">
        <v>48</v>
      </c>
      <c r="BA8">
        <v>55</v>
      </c>
      <c r="BB8">
        <v>65</v>
      </c>
    </row>
    <row r="9" spans="1:54" hidden="1" x14ac:dyDescent="0.3">
      <c r="A9" t="s">
        <v>13</v>
      </c>
      <c r="B9" t="s">
        <v>12</v>
      </c>
      <c r="C9">
        <v>-37.813600000000001</v>
      </c>
      <c r="D9">
        <v>144.9631</v>
      </c>
      <c r="E9">
        <v>0</v>
      </c>
      <c r="F9">
        <v>0</v>
      </c>
      <c r="G9">
        <v>0</v>
      </c>
      <c r="H9">
        <v>0</v>
      </c>
      <c r="I9">
        <v>1</v>
      </c>
      <c r="J9">
        <v>1</v>
      </c>
      <c r="K9">
        <v>1</v>
      </c>
      <c r="L9">
        <v>1</v>
      </c>
      <c r="M9">
        <v>2</v>
      </c>
      <c r="N9">
        <v>3</v>
      </c>
      <c r="O9">
        <v>4</v>
      </c>
      <c r="P9">
        <v>4</v>
      </c>
      <c r="Q9">
        <v>4</v>
      </c>
      <c r="R9">
        <v>4</v>
      </c>
      <c r="S9">
        <v>4</v>
      </c>
      <c r="T9">
        <v>4</v>
      </c>
      <c r="U9">
        <v>4</v>
      </c>
      <c r="V9">
        <v>4</v>
      </c>
      <c r="W9">
        <v>4</v>
      </c>
      <c r="X9">
        <v>4</v>
      </c>
      <c r="Y9">
        <v>4</v>
      </c>
      <c r="Z9">
        <v>4</v>
      </c>
      <c r="AA9">
        <v>4</v>
      </c>
      <c r="AB9">
        <v>4</v>
      </c>
      <c r="AC9">
        <v>4</v>
      </c>
      <c r="AD9">
        <v>4</v>
      </c>
      <c r="AE9">
        <v>4</v>
      </c>
      <c r="AF9">
        <v>4</v>
      </c>
      <c r="AG9">
        <v>4</v>
      </c>
      <c r="AH9">
        <v>4</v>
      </c>
      <c r="AI9">
        <v>4</v>
      </c>
      <c r="AJ9">
        <v>4</v>
      </c>
      <c r="AK9">
        <v>4</v>
      </c>
      <c r="AL9">
        <v>4</v>
      </c>
      <c r="AM9">
        <v>4</v>
      </c>
      <c r="AN9">
        <v>4</v>
      </c>
      <c r="AO9">
        <v>4</v>
      </c>
      <c r="AP9">
        <v>4</v>
      </c>
      <c r="AQ9">
        <v>7</v>
      </c>
      <c r="AR9">
        <v>7</v>
      </c>
      <c r="AS9">
        <v>9</v>
      </c>
      <c r="AT9">
        <v>9</v>
      </c>
      <c r="AU9">
        <v>10</v>
      </c>
      <c r="AV9">
        <v>10</v>
      </c>
      <c r="AW9">
        <v>10</v>
      </c>
      <c r="AX9">
        <v>11</v>
      </c>
      <c r="AY9">
        <v>11</v>
      </c>
      <c r="AZ9">
        <v>15</v>
      </c>
      <c r="BA9">
        <v>18</v>
      </c>
      <c r="BB9">
        <v>21</v>
      </c>
    </row>
    <row r="10" spans="1:54" hidden="1" x14ac:dyDescent="0.3">
      <c r="A10" t="s">
        <v>14</v>
      </c>
      <c r="B10" t="s">
        <v>12</v>
      </c>
      <c r="C10">
        <v>-28.0167</v>
      </c>
      <c r="D10">
        <v>153.4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1</v>
      </c>
      <c r="M10">
        <v>3</v>
      </c>
      <c r="N10">
        <v>2</v>
      </c>
      <c r="O10">
        <v>3</v>
      </c>
      <c r="P10">
        <v>2</v>
      </c>
      <c r="Q10">
        <v>2</v>
      </c>
      <c r="R10">
        <v>3</v>
      </c>
      <c r="S10">
        <v>3</v>
      </c>
      <c r="T10">
        <v>4</v>
      </c>
      <c r="U10">
        <v>5</v>
      </c>
      <c r="V10">
        <v>5</v>
      </c>
      <c r="W10">
        <v>5</v>
      </c>
      <c r="X10">
        <v>5</v>
      </c>
      <c r="Y10">
        <v>5</v>
      </c>
      <c r="Z10">
        <v>5</v>
      </c>
      <c r="AA10">
        <v>5</v>
      </c>
      <c r="AB10">
        <v>5</v>
      </c>
      <c r="AC10">
        <v>5</v>
      </c>
      <c r="AD10">
        <v>5</v>
      </c>
      <c r="AE10">
        <v>5</v>
      </c>
      <c r="AF10">
        <v>5</v>
      </c>
      <c r="AG10">
        <v>5</v>
      </c>
      <c r="AH10">
        <v>5</v>
      </c>
      <c r="AI10">
        <v>5</v>
      </c>
      <c r="AJ10">
        <v>5</v>
      </c>
      <c r="AK10">
        <v>5</v>
      </c>
      <c r="AL10">
        <v>5</v>
      </c>
      <c r="AM10">
        <v>5</v>
      </c>
      <c r="AN10">
        <v>5</v>
      </c>
      <c r="AO10">
        <v>5</v>
      </c>
      <c r="AP10">
        <v>5</v>
      </c>
      <c r="AQ10">
        <v>9</v>
      </c>
      <c r="AR10">
        <v>9</v>
      </c>
      <c r="AS10">
        <v>9</v>
      </c>
      <c r="AT10">
        <v>11</v>
      </c>
      <c r="AU10">
        <v>11</v>
      </c>
      <c r="AV10">
        <v>13</v>
      </c>
      <c r="AW10">
        <v>13</v>
      </c>
      <c r="AX10">
        <v>13</v>
      </c>
      <c r="AY10">
        <v>15</v>
      </c>
      <c r="AZ10">
        <v>15</v>
      </c>
      <c r="BA10">
        <v>18</v>
      </c>
      <c r="BB10">
        <v>20</v>
      </c>
    </row>
    <row r="11" spans="1:54" hidden="1" x14ac:dyDescent="0.3">
      <c r="B11" t="s">
        <v>15</v>
      </c>
      <c r="C11">
        <v>11.55</v>
      </c>
      <c r="D11">
        <v>104.91670000000001</v>
      </c>
      <c r="E11">
        <v>0</v>
      </c>
      <c r="F11">
        <v>0</v>
      </c>
      <c r="G11">
        <v>0</v>
      </c>
      <c r="H11">
        <v>0</v>
      </c>
      <c r="I11">
        <v>0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2</v>
      </c>
      <c r="AZ11">
        <v>2</v>
      </c>
      <c r="BA11">
        <v>2</v>
      </c>
      <c r="BB11">
        <v>3</v>
      </c>
    </row>
    <row r="12" spans="1:54" hidden="1" x14ac:dyDescent="0.3">
      <c r="B12" t="s">
        <v>16</v>
      </c>
      <c r="C12">
        <v>7</v>
      </c>
      <c r="D12">
        <v>81</v>
      </c>
      <c r="E12">
        <v>0</v>
      </c>
      <c r="F12">
        <v>0</v>
      </c>
      <c r="G12">
        <v>0</v>
      </c>
      <c r="H12">
        <v>0</v>
      </c>
      <c r="I12">
        <v>0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  <c r="AZ12">
        <v>1</v>
      </c>
      <c r="BA12">
        <v>1</v>
      </c>
      <c r="BB12">
        <v>2</v>
      </c>
    </row>
    <row r="13" spans="1:54" x14ac:dyDescent="0.3">
      <c r="B13" t="s">
        <v>17</v>
      </c>
      <c r="C13">
        <v>51</v>
      </c>
      <c r="D13">
        <v>9</v>
      </c>
      <c r="E13">
        <v>0</v>
      </c>
      <c r="F13">
        <v>0</v>
      </c>
      <c r="G13">
        <v>0</v>
      </c>
      <c r="H13">
        <v>0</v>
      </c>
      <c r="I13">
        <v>0</v>
      </c>
      <c r="J13">
        <v>1</v>
      </c>
      <c r="K13">
        <v>4</v>
      </c>
      <c r="L13">
        <v>4</v>
      </c>
      <c r="M13">
        <v>4</v>
      </c>
      <c r="N13">
        <v>5</v>
      </c>
      <c r="O13">
        <v>8</v>
      </c>
      <c r="P13">
        <v>10</v>
      </c>
      <c r="Q13">
        <v>12</v>
      </c>
      <c r="R13">
        <v>12</v>
      </c>
      <c r="S13">
        <v>12</v>
      </c>
      <c r="T13">
        <v>12</v>
      </c>
      <c r="U13">
        <v>13</v>
      </c>
      <c r="V13">
        <v>13</v>
      </c>
      <c r="W13">
        <v>14</v>
      </c>
      <c r="X13">
        <v>14</v>
      </c>
      <c r="Y13">
        <v>16</v>
      </c>
      <c r="Z13">
        <v>16</v>
      </c>
      <c r="AA13">
        <v>16</v>
      </c>
      <c r="AB13">
        <v>16</v>
      </c>
      <c r="AC13">
        <v>16</v>
      </c>
      <c r="AD13">
        <v>16</v>
      </c>
      <c r="AE13">
        <v>16</v>
      </c>
      <c r="AF13">
        <v>16</v>
      </c>
      <c r="AG13">
        <v>16</v>
      </c>
      <c r="AH13">
        <v>16</v>
      </c>
      <c r="AI13">
        <v>16</v>
      </c>
      <c r="AJ13">
        <v>16</v>
      </c>
      <c r="AK13">
        <v>16</v>
      </c>
      <c r="AL13">
        <v>16</v>
      </c>
      <c r="AM13">
        <v>17</v>
      </c>
      <c r="AN13">
        <v>27</v>
      </c>
      <c r="AO13">
        <v>46</v>
      </c>
      <c r="AP13">
        <v>48</v>
      </c>
      <c r="AQ13">
        <v>79</v>
      </c>
      <c r="AR13">
        <v>130</v>
      </c>
      <c r="AS13">
        <v>159</v>
      </c>
      <c r="AT13">
        <v>196</v>
      </c>
      <c r="AU13">
        <v>262</v>
      </c>
      <c r="AV13">
        <v>482</v>
      </c>
      <c r="AW13">
        <v>670</v>
      </c>
      <c r="AX13">
        <v>799</v>
      </c>
      <c r="AY13">
        <v>1040</v>
      </c>
      <c r="AZ13">
        <v>1176</v>
      </c>
      <c r="BA13">
        <v>1457</v>
      </c>
      <c r="BB13">
        <v>1908</v>
      </c>
    </row>
    <row r="14" spans="1:54" hidden="1" x14ac:dyDescent="0.3">
      <c r="B14" t="s">
        <v>18</v>
      </c>
      <c r="C14">
        <v>64</v>
      </c>
      <c r="D14">
        <v>26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2</v>
      </c>
      <c r="AO14">
        <v>2</v>
      </c>
      <c r="AP14">
        <v>2</v>
      </c>
      <c r="AQ14">
        <v>3</v>
      </c>
      <c r="AR14">
        <v>6</v>
      </c>
      <c r="AS14">
        <v>6</v>
      </c>
      <c r="AT14">
        <v>6</v>
      </c>
      <c r="AU14">
        <v>6</v>
      </c>
      <c r="AV14">
        <v>12</v>
      </c>
      <c r="AW14">
        <v>15</v>
      </c>
      <c r="AX14">
        <v>15</v>
      </c>
      <c r="AY14">
        <v>23</v>
      </c>
      <c r="AZ14">
        <v>30</v>
      </c>
      <c r="BA14">
        <v>40</v>
      </c>
      <c r="BB14">
        <v>59</v>
      </c>
    </row>
    <row r="15" spans="1:54" hidden="1" x14ac:dyDescent="0.3">
      <c r="B15" t="s">
        <v>19</v>
      </c>
      <c r="C15">
        <v>24</v>
      </c>
      <c r="D15">
        <v>54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4</v>
      </c>
      <c r="M15">
        <v>4</v>
      </c>
      <c r="N15">
        <v>4</v>
      </c>
      <c r="O15">
        <v>4</v>
      </c>
      <c r="P15">
        <v>5</v>
      </c>
      <c r="Q15">
        <v>5</v>
      </c>
      <c r="R15">
        <v>5</v>
      </c>
      <c r="S15">
        <v>5</v>
      </c>
      <c r="T15">
        <v>5</v>
      </c>
      <c r="U15">
        <v>5</v>
      </c>
      <c r="V15">
        <v>7</v>
      </c>
      <c r="W15">
        <v>7</v>
      </c>
      <c r="X15">
        <v>8</v>
      </c>
      <c r="Y15">
        <v>8</v>
      </c>
      <c r="Z15">
        <v>8</v>
      </c>
      <c r="AA15">
        <v>8</v>
      </c>
      <c r="AB15">
        <v>8</v>
      </c>
      <c r="AC15">
        <v>8</v>
      </c>
      <c r="AD15">
        <v>9</v>
      </c>
      <c r="AE15">
        <v>9</v>
      </c>
      <c r="AF15">
        <v>9</v>
      </c>
      <c r="AG15">
        <v>9</v>
      </c>
      <c r="AH15">
        <v>9</v>
      </c>
      <c r="AI15">
        <v>9</v>
      </c>
      <c r="AJ15">
        <v>13</v>
      </c>
      <c r="AK15">
        <v>13</v>
      </c>
      <c r="AL15">
        <v>13</v>
      </c>
      <c r="AM15">
        <v>13</v>
      </c>
      <c r="AN15">
        <v>13</v>
      </c>
      <c r="AO15">
        <v>13</v>
      </c>
      <c r="AP15">
        <v>19</v>
      </c>
      <c r="AQ15">
        <v>21</v>
      </c>
      <c r="AR15">
        <v>21</v>
      </c>
      <c r="AS15">
        <v>21</v>
      </c>
      <c r="AT15">
        <v>27</v>
      </c>
      <c r="AU15">
        <v>27</v>
      </c>
      <c r="AV15">
        <v>29</v>
      </c>
      <c r="AW15">
        <v>29</v>
      </c>
      <c r="AX15">
        <v>45</v>
      </c>
      <c r="AY15">
        <v>45</v>
      </c>
      <c r="AZ15">
        <v>45</v>
      </c>
      <c r="BA15">
        <v>74</v>
      </c>
      <c r="BB15">
        <v>74</v>
      </c>
    </row>
    <row r="16" spans="1:54" hidden="1" x14ac:dyDescent="0.3">
      <c r="B16" t="s">
        <v>20</v>
      </c>
      <c r="C16">
        <v>13</v>
      </c>
      <c r="D16">
        <v>122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1</v>
      </c>
      <c r="N16">
        <v>1</v>
      </c>
      <c r="O16">
        <v>1</v>
      </c>
      <c r="P16">
        <v>2</v>
      </c>
      <c r="Q16">
        <v>2</v>
      </c>
      <c r="R16">
        <v>2</v>
      </c>
      <c r="S16">
        <v>2</v>
      </c>
      <c r="T16">
        <v>2</v>
      </c>
      <c r="U16">
        <v>3</v>
      </c>
      <c r="V16">
        <v>3</v>
      </c>
      <c r="W16">
        <v>3</v>
      </c>
      <c r="X16">
        <v>3</v>
      </c>
      <c r="Y16">
        <v>3</v>
      </c>
      <c r="Z16">
        <v>3</v>
      </c>
      <c r="AA16">
        <v>3</v>
      </c>
      <c r="AB16">
        <v>3</v>
      </c>
      <c r="AC16">
        <v>3</v>
      </c>
      <c r="AD16">
        <v>3</v>
      </c>
      <c r="AE16">
        <v>3</v>
      </c>
      <c r="AF16">
        <v>3</v>
      </c>
      <c r="AG16">
        <v>3</v>
      </c>
      <c r="AH16">
        <v>3</v>
      </c>
      <c r="AI16">
        <v>3</v>
      </c>
      <c r="AJ16">
        <v>3</v>
      </c>
      <c r="AK16">
        <v>3</v>
      </c>
      <c r="AL16">
        <v>3</v>
      </c>
      <c r="AM16">
        <v>3</v>
      </c>
      <c r="AN16">
        <v>3</v>
      </c>
      <c r="AO16">
        <v>3</v>
      </c>
      <c r="AP16">
        <v>3</v>
      </c>
      <c r="AQ16">
        <v>3</v>
      </c>
      <c r="AR16">
        <v>3</v>
      </c>
      <c r="AS16">
        <v>3</v>
      </c>
      <c r="AT16">
        <v>3</v>
      </c>
      <c r="AU16">
        <v>3</v>
      </c>
      <c r="AV16">
        <v>3</v>
      </c>
      <c r="AW16">
        <v>5</v>
      </c>
      <c r="AX16">
        <v>6</v>
      </c>
      <c r="AY16">
        <v>10</v>
      </c>
      <c r="AZ16">
        <v>20</v>
      </c>
      <c r="BA16">
        <v>33</v>
      </c>
      <c r="BB16">
        <v>49</v>
      </c>
    </row>
    <row r="17" spans="1:54" hidden="1" x14ac:dyDescent="0.3">
      <c r="B17" t="s">
        <v>21</v>
      </c>
      <c r="C17">
        <v>21</v>
      </c>
      <c r="D17">
        <v>78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1</v>
      </c>
      <c r="N17">
        <v>1</v>
      </c>
      <c r="O17">
        <v>1</v>
      </c>
      <c r="P17">
        <v>2</v>
      </c>
      <c r="Q17">
        <v>3</v>
      </c>
      <c r="R17">
        <v>3</v>
      </c>
      <c r="S17">
        <v>3</v>
      </c>
      <c r="T17">
        <v>3</v>
      </c>
      <c r="U17">
        <v>3</v>
      </c>
      <c r="V17">
        <v>3</v>
      </c>
      <c r="W17">
        <v>3</v>
      </c>
      <c r="X17">
        <v>3</v>
      </c>
      <c r="Y17">
        <v>3</v>
      </c>
      <c r="Z17">
        <v>3</v>
      </c>
      <c r="AA17">
        <v>3</v>
      </c>
      <c r="AB17">
        <v>3</v>
      </c>
      <c r="AC17">
        <v>3</v>
      </c>
      <c r="AD17">
        <v>3</v>
      </c>
      <c r="AE17">
        <v>3</v>
      </c>
      <c r="AF17">
        <v>3</v>
      </c>
      <c r="AG17">
        <v>3</v>
      </c>
      <c r="AH17">
        <v>3</v>
      </c>
      <c r="AI17">
        <v>3</v>
      </c>
      <c r="AJ17">
        <v>3</v>
      </c>
      <c r="AK17">
        <v>3</v>
      </c>
      <c r="AL17">
        <v>3</v>
      </c>
      <c r="AM17">
        <v>3</v>
      </c>
      <c r="AN17">
        <v>3</v>
      </c>
      <c r="AO17">
        <v>3</v>
      </c>
      <c r="AP17">
        <v>3</v>
      </c>
      <c r="AQ17">
        <v>3</v>
      </c>
      <c r="AR17">
        <v>3</v>
      </c>
      <c r="AS17">
        <v>5</v>
      </c>
      <c r="AT17">
        <v>5</v>
      </c>
      <c r="AU17">
        <v>28</v>
      </c>
      <c r="AV17">
        <v>30</v>
      </c>
      <c r="AW17">
        <v>31</v>
      </c>
      <c r="AX17">
        <v>34</v>
      </c>
      <c r="AY17">
        <v>39</v>
      </c>
      <c r="AZ17">
        <v>43</v>
      </c>
      <c r="BA17">
        <v>56</v>
      </c>
      <c r="BB17">
        <v>62</v>
      </c>
    </row>
    <row r="18" spans="1:54" x14ac:dyDescent="0.3">
      <c r="B18" t="s">
        <v>22</v>
      </c>
      <c r="C18">
        <v>43</v>
      </c>
      <c r="D18">
        <v>12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2</v>
      </c>
      <c r="O18">
        <v>2</v>
      </c>
      <c r="P18">
        <v>2</v>
      </c>
      <c r="Q18">
        <v>2</v>
      </c>
      <c r="R18">
        <v>2</v>
      </c>
      <c r="S18">
        <v>2</v>
      </c>
      <c r="T18">
        <v>2</v>
      </c>
      <c r="U18">
        <v>3</v>
      </c>
      <c r="V18">
        <v>3</v>
      </c>
      <c r="W18">
        <v>3</v>
      </c>
      <c r="X18">
        <v>3</v>
      </c>
      <c r="Y18">
        <v>3</v>
      </c>
      <c r="Z18">
        <v>3</v>
      </c>
      <c r="AA18">
        <v>3</v>
      </c>
      <c r="AB18">
        <v>3</v>
      </c>
      <c r="AC18">
        <v>3</v>
      </c>
      <c r="AD18">
        <v>3</v>
      </c>
      <c r="AE18">
        <v>3</v>
      </c>
      <c r="AF18">
        <v>3</v>
      </c>
      <c r="AG18">
        <v>3</v>
      </c>
      <c r="AH18">
        <v>3</v>
      </c>
      <c r="AI18">
        <v>20</v>
      </c>
      <c r="AJ18">
        <v>62</v>
      </c>
      <c r="AK18">
        <v>155</v>
      </c>
      <c r="AL18">
        <v>229</v>
      </c>
      <c r="AM18">
        <v>322</v>
      </c>
      <c r="AN18">
        <v>453</v>
      </c>
      <c r="AO18">
        <v>655</v>
      </c>
      <c r="AP18">
        <v>888</v>
      </c>
      <c r="AQ18">
        <v>1128</v>
      </c>
      <c r="AR18">
        <v>1694</v>
      </c>
      <c r="AS18">
        <v>2036</v>
      </c>
      <c r="AT18">
        <v>2502</v>
      </c>
      <c r="AU18">
        <v>3089</v>
      </c>
      <c r="AV18">
        <v>3858</v>
      </c>
      <c r="AW18">
        <v>4636</v>
      </c>
      <c r="AX18">
        <v>5883</v>
      </c>
      <c r="AY18">
        <v>7375</v>
      </c>
      <c r="AZ18">
        <v>9172</v>
      </c>
      <c r="BA18">
        <v>10149</v>
      </c>
      <c r="BB18">
        <v>12462</v>
      </c>
    </row>
    <row r="19" spans="1:54" hidden="1" x14ac:dyDescent="0.3">
      <c r="B19" t="s">
        <v>23</v>
      </c>
      <c r="C19">
        <v>63</v>
      </c>
      <c r="D19">
        <v>16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2</v>
      </c>
      <c r="AO19">
        <v>7</v>
      </c>
      <c r="AP19">
        <v>7</v>
      </c>
      <c r="AQ19">
        <v>12</v>
      </c>
      <c r="AR19">
        <v>14</v>
      </c>
      <c r="AS19">
        <v>15</v>
      </c>
      <c r="AT19">
        <v>21</v>
      </c>
      <c r="AU19">
        <v>35</v>
      </c>
      <c r="AV19">
        <v>94</v>
      </c>
      <c r="AW19">
        <v>101</v>
      </c>
      <c r="AX19">
        <v>161</v>
      </c>
      <c r="AY19">
        <v>203</v>
      </c>
      <c r="AZ19">
        <v>248</v>
      </c>
      <c r="BA19">
        <v>355</v>
      </c>
      <c r="BB19">
        <v>500</v>
      </c>
    </row>
    <row r="20" spans="1:54" hidden="1" x14ac:dyDescent="0.3">
      <c r="B20" t="s">
        <v>24</v>
      </c>
      <c r="C20">
        <v>40</v>
      </c>
      <c r="D20">
        <v>-4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2</v>
      </c>
      <c r="X20">
        <v>2</v>
      </c>
      <c r="Y20">
        <v>2</v>
      </c>
      <c r="Z20">
        <v>2</v>
      </c>
      <c r="AA20">
        <v>2</v>
      </c>
      <c r="AB20">
        <v>2</v>
      </c>
      <c r="AC20">
        <v>2</v>
      </c>
      <c r="AD20">
        <v>2</v>
      </c>
      <c r="AE20">
        <v>2</v>
      </c>
      <c r="AF20">
        <v>2</v>
      </c>
      <c r="AG20">
        <v>2</v>
      </c>
      <c r="AH20">
        <v>2</v>
      </c>
      <c r="AI20">
        <v>2</v>
      </c>
      <c r="AJ20">
        <v>2</v>
      </c>
      <c r="AK20">
        <v>2</v>
      </c>
      <c r="AL20">
        <v>2</v>
      </c>
      <c r="AM20">
        <v>6</v>
      </c>
      <c r="AN20">
        <v>13</v>
      </c>
      <c r="AO20">
        <v>15</v>
      </c>
      <c r="AP20">
        <v>32</v>
      </c>
      <c r="AQ20">
        <v>45</v>
      </c>
      <c r="AR20">
        <v>84</v>
      </c>
      <c r="AS20">
        <v>120</v>
      </c>
      <c r="AT20">
        <v>165</v>
      </c>
      <c r="AU20">
        <v>222</v>
      </c>
      <c r="AV20">
        <v>259</v>
      </c>
      <c r="AW20">
        <v>400</v>
      </c>
      <c r="AX20">
        <v>500</v>
      </c>
      <c r="AY20">
        <v>673</v>
      </c>
      <c r="AZ20">
        <v>1073</v>
      </c>
      <c r="BA20">
        <v>1695</v>
      </c>
      <c r="BB20">
        <v>2277</v>
      </c>
    </row>
    <row r="21" spans="1:54" hidden="1" x14ac:dyDescent="0.3">
      <c r="A21" t="s">
        <v>25</v>
      </c>
      <c r="B21" t="s">
        <v>12</v>
      </c>
      <c r="C21">
        <v>-34.9285</v>
      </c>
      <c r="D21">
        <v>138.60069999999999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1</v>
      </c>
      <c r="P21">
        <v>2</v>
      </c>
      <c r="Q21">
        <v>2</v>
      </c>
      <c r="R21">
        <v>2</v>
      </c>
      <c r="S21">
        <v>2</v>
      </c>
      <c r="T21">
        <v>2</v>
      </c>
      <c r="U21">
        <v>2</v>
      </c>
      <c r="V21">
        <v>2</v>
      </c>
      <c r="W21">
        <v>2</v>
      </c>
      <c r="X21">
        <v>2</v>
      </c>
      <c r="Y21">
        <v>2</v>
      </c>
      <c r="Z21">
        <v>2</v>
      </c>
      <c r="AA21">
        <v>2</v>
      </c>
      <c r="AB21">
        <v>2</v>
      </c>
      <c r="AC21">
        <v>2</v>
      </c>
      <c r="AD21">
        <v>2</v>
      </c>
      <c r="AE21">
        <v>2</v>
      </c>
      <c r="AF21">
        <v>2</v>
      </c>
      <c r="AG21">
        <v>2</v>
      </c>
      <c r="AH21">
        <v>2</v>
      </c>
      <c r="AI21">
        <v>2</v>
      </c>
      <c r="AJ21">
        <v>2</v>
      </c>
      <c r="AK21">
        <v>2</v>
      </c>
      <c r="AL21">
        <v>2</v>
      </c>
      <c r="AM21">
        <v>2</v>
      </c>
      <c r="AN21">
        <v>2</v>
      </c>
      <c r="AO21">
        <v>2</v>
      </c>
      <c r="AP21">
        <v>2</v>
      </c>
      <c r="AQ21">
        <v>3</v>
      </c>
      <c r="AR21">
        <v>3</v>
      </c>
      <c r="AS21">
        <v>3</v>
      </c>
      <c r="AT21">
        <v>3</v>
      </c>
      <c r="AU21">
        <v>5</v>
      </c>
      <c r="AV21">
        <v>5</v>
      </c>
      <c r="AW21">
        <v>7</v>
      </c>
      <c r="AX21">
        <v>7</v>
      </c>
      <c r="AY21">
        <v>7</v>
      </c>
      <c r="AZ21">
        <v>7</v>
      </c>
      <c r="BA21">
        <v>7</v>
      </c>
      <c r="BB21">
        <v>9</v>
      </c>
    </row>
    <row r="22" spans="1:54" hidden="1" x14ac:dyDescent="0.3">
      <c r="B22" t="s">
        <v>26</v>
      </c>
      <c r="C22">
        <v>50.833300000000001</v>
      </c>
      <c r="D22">
        <v>4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2</v>
      </c>
      <c r="AS22">
        <v>8</v>
      </c>
      <c r="AT22">
        <v>13</v>
      </c>
      <c r="AU22">
        <v>23</v>
      </c>
      <c r="AV22">
        <v>50</v>
      </c>
      <c r="AW22">
        <v>109</v>
      </c>
      <c r="AX22">
        <v>169</v>
      </c>
      <c r="AY22">
        <v>200</v>
      </c>
      <c r="AZ22">
        <v>239</v>
      </c>
      <c r="BA22">
        <v>267</v>
      </c>
      <c r="BB22">
        <v>314</v>
      </c>
    </row>
    <row r="23" spans="1:54" hidden="1" x14ac:dyDescent="0.3">
      <c r="B23" t="s">
        <v>27</v>
      </c>
      <c r="C23">
        <v>26</v>
      </c>
      <c r="D23">
        <v>30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1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2</v>
      </c>
      <c r="AS23">
        <v>2</v>
      </c>
      <c r="AT23">
        <v>2</v>
      </c>
      <c r="AU23">
        <v>2</v>
      </c>
      <c r="AV23">
        <v>3</v>
      </c>
      <c r="AW23">
        <v>15</v>
      </c>
      <c r="AX23">
        <v>15</v>
      </c>
      <c r="AY23">
        <v>49</v>
      </c>
      <c r="AZ23">
        <v>55</v>
      </c>
      <c r="BA23">
        <v>59</v>
      </c>
      <c r="BB23">
        <v>60</v>
      </c>
    </row>
    <row r="24" spans="1:54" hidden="1" x14ac:dyDescent="0.3">
      <c r="A24" t="s">
        <v>28</v>
      </c>
      <c r="B24" t="s">
        <v>12</v>
      </c>
      <c r="C24">
        <v>35.4437</v>
      </c>
      <c r="D24">
        <v>139.63800000000001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4</v>
      </c>
      <c r="AJ24">
        <v>7</v>
      </c>
      <c r="AK24">
        <v>7</v>
      </c>
      <c r="AL24">
        <v>7</v>
      </c>
      <c r="AM24">
        <v>7</v>
      </c>
      <c r="AN24">
        <v>7</v>
      </c>
      <c r="AO24">
        <v>8</v>
      </c>
      <c r="AP24">
        <v>8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</row>
    <row r="25" spans="1:54" hidden="1" x14ac:dyDescent="0.3">
      <c r="B25" t="s">
        <v>29</v>
      </c>
      <c r="C25">
        <v>33.854700000000001</v>
      </c>
      <c r="D25">
        <v>35.862299999999998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1</v>
      </c>
      <c r="AJ25">
        <v>1</v>
      </c>
      <c r="AK25">
        <v>1</v>
      </c>
      <c r="AL25">
        <v>1</v>
      </c>
      <c r="AM25">
        <v>1</v>
      </c>
      <c r="AN25">
        <v>2</v>
      </c>
      <c r="AO25">
        <v>2</v>
      </c>
      <c r="AP25">
        <v>2</v>
      </c>
      <c r="AQ25">
        <v>4</v>
      </c>
      <c r="AR25">
        <v>10</v>
      </c>
      <c r="AS25">
        <v>13</v>
      </c>
      <c r="AT25">
        <v>13</v>
      </c>
      <c r="AU25">
        <v>13</v>
      </c>
      <c r="AV25">
        <v>16</v>
      </c>
      <c r="AW25">
        <v>22</v>
      </c>
      <c r="AX25">
        <v>22</v>
      </c>
      <c r="AY25">
        <v>32</v>
      </c>
      <c r="AZ25">
        <v>32</v>
      </c>
      <c r="BA25">
        <v>41</v>
      </c>
      <c r="BB25">
        <v>61</v>
      </c>
    </row>
    <row r="26" spans="1:54" hidden="1" x14ac:dyDescent="0.3">
      <c r="B26" t="s">
        <v>30</v>
      </c>
      <c r="C26">
        <v>33</v>
      </c>
      <c r="D26">
        <v>44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1</v>
      </c>
      <c r="AM26">
        <v>1</v>
      </c>
      <c r="AN26">
        <v>5</v>
      </c>
      <c r="AO26">
        <v>7</v>
      </c>
      <c r="AP26">
        <v>7</v>
      </c>
      <c r="AQ26">
        <v>13</v>
      </c>
      <c r="AR26">
        <v>19</v>
      </c>
      <c r="AS26">
        <v>26</v>
      </c>
      <c r="AT26">
        <v>32</v>
      </c>
      <c r="AU26">
        <v>35</v>
      </c>
      <c r="AV26">
        <v>35</v>
      </c>
      <c r="AW26">
        <v>40</v>
      </c>
      <c r="AX26">
        <v>54</v>
      </c>
      <c r="AY26">
        <v>60</v>
      </c>
      <c r="AZ26">
        <v>60</v>
      </c>
      <c r="BA26">
        <v>71</v>
      </c>
      <c r="BB26">
        <v>71</v>
      </c>
    </row>
    <row r="27" spans="1:54" hidden="1" x14ac:dyDescent="0.3">
      <c r="B27" t="s">
        <v>31</v>
      </c>
      <c r="C27">
        <v>21</v>
      </c>
      <c r="D27">
        <v>57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2</v>
      </c>
      <c r="AM27">
        <v>2</v>
      </c>
      <c r="AN27">
        <v>4</v>
      </c>
      <c r="AO27">
        <v>4</v>
      </c>
      <c r="AP27">
        <v>4</v>
      </c>
      <c r="AQ27">
        <v>6</v>
      </c>
      <c r="AR27">
        <v>6</v>
      </c>
      <c r="AS27">
        <v>6</v>
      </c>
      <c r="AT27">
        <v>12</v>
      </c>
      <c r="AU27">
        <v>15</v>
      </c>
      <c r="AV27">
        <v>16</v>
      </c>
      <c r="AW27">
        <v>16</v>
      </c>
      <c r="AX27">
        <v>16</v>
      </c>
      <c r="AY27">
        <v>16</v>
      </c>
      <c r="AZ27">
        <v>16</v>
      </c>
      <c r="BA27">
        <v>18</v>
      </c>
      <c r="BB27">
        <v>18</v>
      </c>
    </row>
    <row r="28" spans="1:54" hidden="1" x14ac:dyDescent="0.3">
      <c r="B28" t="s">
        <v>32</v>
      </c>
      <c r="C28">
        <v>33</v>
      </c>
      <c r="D28">
        <v>65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1</v>
      </c>
      <c r="AM28">
        <v>1</v>
      </c>
      <c r="AN28">
        <v>1</v>
      </c>
      <c r="AO28">
        <v>1</v>
      </c>
      <c r="AP28">
        <v>1</v>
      </c>
      <c r="AQ28">
        <v>1</v>
      </c>
      <c r="AR28">
        <v>1</v>
      </c>
      <c r="AS28">
        <v>1</v>
      </c>
      <c r="AT28">
        <v>1</v>
      </c>
      <c r="AU28">
        <v>1</v>
      </c>
      <c r="AV28">
        <v>1</v>
      </c>
      <c r="AW28">
        <v>1</v>
      </c>
      <c r="AX28">
        <v>1</v>
      </c>
      <c r="AY28">
        <v>4</v>
      </c>
      <c r="AZ28">
        <v>4</v>
      </c>
      <c r="BA28">
        <v>5</v>
      </c>
      <c r="BB28">
        <v>7</v>
      </c>
    </row>
    <row r="29" spans="1:54" hidden="1" x14ac:dyDescent="0.3">
      <c r="B29" t="s">
        <v>33</v>
      </c>
      <c r="C29">
        <v>26.0275</v>
      </c>
      <c r="D29">
        <v>50.55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1</v>
      </c>
      <c r="AM29">
        <v>23</v>
      </c>
      <c r="AN29">
        <v>33</v>
      </c>
      <c r="AO29">
        <v>33</v>
      </c>
      <c r="AP29">
        <v>36</v>
      </c>
      <c r="AQ29">
        <v>41</v>
      </c>
      <c r="AR29">
        <v>47</v>
      </c>
      <c r="AS29">
        <v>49</v>
      </c>
      <c r="AT29">
        <v>49</v>
      </c>
      <c r="AU29">
        <v>52</v>
      </c>
      <c r="AV29">
        <v>55</v>
      </c>
      <c r="AW29">
        <v>60</v>
      </c>
      <c r="AX29">
        <v>85</v>
      </c>
      <c r="AY29">
        <v>85</v>
      </c>
      <c r="AZ29">
        <v>95</v>
      </c>
      <c r="BA29">
        <v>110</v>
      </c>
      <c r="BB29">
        <v>195</v>
      </c>
    </row>
    <row r="30" spans="1:54" hidden="1" x14ac:dyDescent="0.3">
      <c r="B30" t="s">
        <v>34</v>
      </c>
      <c r="C30">
        <v>29.5</v>
      </c>
      <c r="D30">
        <v>47.75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1</v>
      </c>
      <c r="AM30">
        <v>11</v>
      </c>
      <c r="AN30">
        <v>26</v>
      </c>
      <c r="AO30">
        <v>43</v>
      </c>
      <c r="AP30">
        <v>45</v>
      </c>
      <c r="AQ30">
        <v>45</v>
      </c>
      <c r="AR30">
        <v>45</v>
      </c>
      <c r="AS30">
        <v>56</v>
      </c>
      <c r="AT30">
        <v>56</v>
      </c>
      <c r="AU30">
        <v>56</v>
      </c>
      <c r="AV30">
        <v>58</v>
      </c>
      <c r="AW30">
        <v>58</v>
      </c>
      <c r="AX30">
        <v>61</v>
      </c>
      <c r="AY30">
        <v>64</v>
      </c>
      <c r="AZ30">
        <v>64</v>
      </c>
      <c r="BA30">
        <v>69</v>
      </c>
      <c r="BB30">
        <v>72</v>
      </c>
    </row>
    <row r="31" spans="1:54" hidden="1" x14ac:dyDescent="0.3">
      <c r="B31" t="s">
        <v>35</v>
      </c>
      <c r="C31">
        <v>28.033899999999999</v>
      </c>
      <c r="D31">
        <v>1.6596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1</v>
      </c>
      <c r="AN31">
        <v>1</v>
      </c>
      <c r="AO31">
        <v>1</v>
      </c>
      <c r="AP31">
        <v>1</v>
      </c>
      <c r="AQ31">
        <v>1</v>
      </c>
      <c r="AR31">
        <v>1</v>
      </c>
      <c r="AS31">
        <v>3</v>
      </c>
      <c r="AT31">
        <v>5</v>
      </c>
      <c r="AU31">
        <v>12</v>
      </c>
      <c r="AV31">
        <v>12</v>
      </c>
      <c r="AW31">
        <v>17</v>
      </c>
      <c r="AX31">
        <v>17</v>
      </c>
      <c r="AY31">
        <v>19</v>
      </c>
      <c r="AZ31">
        <v>20</v>
      </c>
      <c r="BA31">
        <v>20</v>
      </c>
      <c r="BB31">
        <v>20</v>
      </c>
    </row>
    <row r="32" spans="1:54" hidden="1" x14ac:dyDescent="0.3">
      <c r="B32" t="s">
        <v>36</v>
      </c>
      <c r="C32">
        <v>45.1</v>
      </c>
      <c r="D32">
        <v>15.2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1</v>
      </c>
      <c r="AN32">
        <v>3</v>
      </c>
      <c r="AO32">
        <v>3</v>
      </c>
      <c r="AP32">
        <v>5</v>
      </c>
      <c r="AQ32">
        <v>6</v>
      </c>
      <c r="AR32">
        <v>7</v>
      </c>
      <c r="AS32">
        <v>7</v>
      </c>
      <c r="AT32">
        <v>9</v>
      </c>
      <c r="AU32">
        <v>10</v>
      </c>
      <c r="AV32">
        <v>10</v>
      </c>
      <c r="AW32">
        <v>11</v>
      </c>
      <c r="AX32">
        <v>12</v>
      </c>
      <c r="AY32">
        <v>12</v>
      </c>
      <c r="AZ32">
        <v>12</v>
      </c>
      <c r="BA32">
        <v>14</v>
      </c>
      <c r="BB32">
        <v>19</v>
      </c>
    </row>
    <row r="33" spans="2:54" hidden="1" x14ac:dyDescent="0.3">
      <c r="B33" t="s">
        <v>37</v>
      </c>
      <c r="C33">
        <v>46.818199999999997</v>
      </c>
      <c r="D33">
        <v>8.2274999999999991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1</v>
      </c>
      <c r="AN33">
        <v>1</v>
      </c>
      <c r="AO33">
        <v>8</v>
      </c>
      <c r="AP33">
        <v>8</v>
      </c>
      <c r="AQ33">
        <v>18</v>
      </c>
      <c r="AR33">
        <v>27</v>
      </c>
      <c r="AS33">
        <v>42</v>
      </c>
      <c r="AT33">
        <v>56</v>
      </c>
      <c r="AU33">
        <v>90</v>
      </c>
      <c r="AV33">
        <v>114</v>
      </c>
      <c r="AW33">
        <v>214</v>
      </c>
      <c r="AX33">
        <v>268</v>
      </c>
      <c r="AY33">
        <v>337</v>
      </c>
      <c r="AZ33">
        <v>374</v>
      </c>
      <c r="BA33">
        <v>491</v>
      </c>
      <c r="BB33">
        <v>652</v>
      </c>
    </row>
    <row r="34" spans="2:54" hidden="1" x14ac:dyDescent="0.3">
      <c r="B34" t="s">
        <v>38</v>
      </c>
      <c r="C34">
        <v>47.516199999999998</v>
      </c>
      <c r="D34">
        <v>14.5501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2</v>
      </c>
      <c r="AN34">
        <v>2</v>
      </c>
      <c r="AO34">
        <v>3</v>
      </c>
      <c r="AP34">
        <v>3</v>
      </c>
      <c r="AQ34">
        <v>9</v>
      </c>
      <c r="AR34">
        <v>14</v>
      </c>
      <c r="AS34">
        <v>18</v>
      </c>
      <c r="AT34">
        <v>21</v>
      </c>
      <c r="AU34">
        <v>29</v>
      </c>
      <c r="AV34">
        <v>41</v>
      </c>
      <c r="AW34">
        <v>55</v>
      </c>
      <c r="AX34">
        <v>79</v>
      </c>
      <c r="AY34">
        <v>104</v>
      </c>
      <c r="AZ34">
        <v>131</v>
      </c>
      <c r="BA34">
        <v>182</v>
      </c>
      <c r="BB34">
        <v>246</v>
      </c>
    </row>
    <row r="35" spans="2:54" hidden="1" x14ac:dyDescent="0.3">
      <c r="B35" t="s">
        <v>39</v>
      </c>
      <c r="C35">
        <v>31</v>
      </c>
      <c r="D35">
        <v>35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1</v>
      </c>
      <c r="AJ35">
        <v>1</v>
      </c>
      <c r="AK35">
        <v>1</v>
      </c>
      <c r="AL35">
        <v>1</v>
      </c>
      <c r="AM35">
        <v>1</v>
      </c>
      <c r="AN35">
        <v>2</v>
      </c>
      <c r="AO35">
        <v>3</v>
      </c>
      <c r="AP35">
        <v>4</v>
      </c>
      <c r="AQ35">
        <v>7</v>
      </c>
      <c r="AR35">
        <v>10</v>
      </c>
      <c r="AS35">
        <v>10</v>
      </c>
      <c r="AT35">
        <v>12</v>
      </c>
      <c r="AU35">
        <v>15</v>
      </c>
      <c r="AV35">
        <v>20</v>
      </c>
      <c r="AW35">
        <v>37</v>
      </c>
      <c r="AX35">
        <v>43</v>
      </c>
      <c r="AY35">
        <v>61</v>
      </c>
      <c r="AZ35">
        <v>61</v>
      </c>
      <c r="BA35">
        <v>83</v>
      </c>
      <c r="BB35">
        <v>109</v>
      </c>
    </row>
    <row r="36" spans="2:54" hidden="1" x14ac:dyDescent="0.3">
      <c r="B36" t="s">
        <v>40</v>
      </c>
      <c r="C36">
        <v>30.375299999999999</v>
      </c>
      <c r="D36">
        <v>69.345100000000002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2</v>
      </c>
      <c r="AO36">
        <v>2</v>
      </c>
      <c r="AP36">
        <v>2</v>
      </c>
      <c r="AQ36">
        <v>4</v>
      </c>
      <c r="AR36">
        <v>4</v>
      </c>
      <c r="AS36">
        <v>4</v>
      </c>
      <c r="AT36">
        <v>5</v>
      </c>
      <c r="AU36">
        <v>5</v>
      </c>
      <c r="AV36">
        <v>5</v>
      </c>
      <c r="AW36">
        <v>6</v>
      </c>
      <c r="AX36">
        <v>6</v>
      </c>
      <c r="AY36">
        <v>6</v>
      </c>
      <c r="AZ36">
        <v>6</v>
      </c>
      <c r="BA36">
        <v>16</v>
      </c>
      <c r="BB36">
        <v>19</v>
      </c>
    </row>
    <row r="37" spans="2:54" hidden="1" x14ac:dyDescent="0.3">
      <c r="B37" t="s">
        <v>41</v>
      </c>
      <c r="C37">
        <v>-14.234999999999999</v>
      </c>
      <c r="D37">
        <v>-51.9253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1</v>
      </c>
      <c r="AO37">
        <v>1</v>
      </c>
      <c r="AP37">
        <v>1</v>
      </c>
      <c r="AQ37">
        <v>2</v>
      </c>
      <c r="AR37">
        <v>2</v>
      </c>
      <c r="AS37">
        <v>2</v>
      </c>
      <c r="AT37">
        <v>2</v>
      </c>
      <c r="AU37">
        <v>4</v>
      </c>
      <c r="AV37">
        <v>4</v>
      </c>
      <c r="AW37">
        <v>13</v>
      </c>
      <c r="AX37">
        <v>13</v>
      </c>
      <c r="AY37">
        <v>20</v>
      </c>
      <c r="AZ37">
        <v>25</v>
      </c>
      <c r="BA37">
        <v>31</v>
      </c>
      <c r="BB37">
        <v>38</v>
      </c>
    </row>
    <row r="38" spans="2:54" hidden="1" x14ac:dyDescent="0.3">
      <c r="B38" t="s">
        <v>42</v>
      </c>
      <c r="C38">
        <v>42.315399999999997</v>
      </c>
      <c r="D38">
        <v>43.356900000000003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1</v>
      </c>
      <c r="AO38">
        <v>1</v>
      </c>
      <c r="AP38">
        <v>1</v>
      </c>
      <c r="AQ38">
        <v>1</v>
      </c>
      <c r="AR38">
        <v>3</v>
      </c>
      <c r="AS38">
        <v>3</v>
      </c>
      <c r="AT38">
        <v>3</v>
      </c>
      <c r="AU38">
        <v>3</v>
      </c>
      <c r="AV38">
        <v>4</v>
      </c>
      <c r="AW38">
        <v>4</v>
      </c>
      <c r="AX38">
        <v>4</v>
      </c>
      <c r="AY38">
        <v>13</v>
      </c>
      <c r="AZ38">
        <v>15</v>
      </c>
      <c r="BA38">
        <v>15</v>
      </c>
      <c r="BB38">
        <v>24</v>
      </c>
    </row>
    <row r="39" spans="2:54" hidden="1" x14ac:dyDescent="0.3">
      <c r="B39" t="s">
        <v>43</v>
      </c>
      <c r="C39">
        <v>39.074199999999998</v>
      </c>
      <c r="D39">
        <v>21.824300000000001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1</v>
      </c>
      <c r="AO39">
        <v>3</v>
      </c>
      <c r="AP39">
        <v>4</v>
      </c>
      <c r="AQ39">
        <v>4</v>
      </c>
      <c r="AR39">
        <v>7</v>
      </c>
      <c r="AS39">
        <v>7</v>
      </c>
      <c r="AT39">
        <v>7</v>
      </c>
      <c r="AU39">
        <v>9</v>
      </c>
      <c r="AV39">
        <v>31</v>
      </c>
      <c r="AW39">
        <v>45</v>
      </c>
      <c r="AX39">
        <v>46</v>
      </c>
      <c r="AY39">
        <v>73</v>
      </c>
      <c r="AZ39">
        <v>73</v>
      </c>
      <c r="BA39">
        <v>89</v>
      </c>
      <c r="BB39">
        <v>99</v>
      </c>
    </row>
    <row r="40" spans="2:54" hidden="1" x14ac:dyDescent="0.3">
      <c r="B40" t="s">
        <v>44</v>
      </c>
      <c r="C40">
        <v>41.608600000000003</v>
      </c>
      <c r="D40">
        <v>21.7453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1</v>
      </c>
      <c r="AO40">
        <v>1</v>
      </c>
      <c r="AP40">
        <v>1</v>
      </c>
      <c r="AQ40">
        <v>1</v>
      </c>
      <c r="AR40">
        <v>1</v>
      </c>
      <c r="AS40">
        <v>1</v>
      </c>
      <c r="AT40">
        <v>1</v>
      </c>
      <c r="AU40">
        <v>1</v>
      </c>
      <c r="AV40">
        <v>1</v>
      </c>
      <c r="AW40">
        <v>3</v>
      </c>
      <c r="AX40">
        <v>3</v>
      </c>
      <c r="AY40">
        <v>3</v>
      </c>
      <c r="AZ40">
        <v>3</v>
      </c>
      <c r="BA40">
        <v>7</v>
      </c>
      <c r="BB40">
        <v>7</v>
      </c>
    </row>
    <row r="41" spans="2:54" hidden="1" x14ac:dyDescent="0.3">
      <c r="B41" t="s">
        <v>45</v>
      </c>
      <c r="C41">
        <v>60.472000000000001</v>
      </c>
      <c r="D41">
        <v>8.4688999999999997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1</v>
      </c>
      <c r="AO41">
        <v>1</v>
      </c>
      <c r="AP41">
        <v>6</v>
      </c>
      <c r="AQ41">
        <v>15</v>
      </c>
      <c r="AR41">
        <v>19</v>
      </c>
      <c r="AS41">
        <v>25</v>
      </c>
      <c r="AT41">
        <v>32</v>
      </c>
      <c r="AU41">
        <v>56</v>
      </c>
      <c r="AV41">
        <v>87</v>
      </c>
      <c r="AW41">
        <v>108</v>
      </c>
      <c r="AX41">
        <v>147</v>
      </c>
      <c r="AY41">
        <v>176</v>
      </c>
      <c r="AZ41">
        <v>205</v>
      </c>
      <c r="BA41">
        <v>400</v>
      </c>
      <c r="BB41">
        <v>598</v>
      </c>
    </row>
    <row r="42" spans="2:54" hidden="1" x14ac:dyDescent="0.3">
      <c r="B42" t="s">
        <v>46</v>
      </c>
      <c r="C42">
        <v>45.943199999999997</v>
      </c>
      <c r="D42">
        <v>24.966799999999999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1</v>
      </c>
      <c r="AO42">
        <v>1</v>
      </c>
      <c r="AP42">
        <v>3</v>
      </c>
      <c r="AQ42">
        <v>3</v>
      </c>
      <c r="AR42">
        <v>3</v>
      </c>
      <c r="AS42">
        <v>3</v>
      </c>
      <c r="AT42">
        <v>3</v>
      </c>
      <c r="AU42">
        <v>4</v>
      </c>
      <c r="AV42">
        <v>6</v>
      </c>
      <c r="AW42">
        <v>9</v>
      </c>
      <c r="AX42">
        <v>9</v>
      </c>
      <c r="AY42">
        <v>15</v>
      </c>
      <c r="AZ42">
        <v>15</v>
      </c>
      <c r="BA42">
        <v>25</v>
      </c>
      <c r="BB42">
        <v>45</v>
      </c>
    </row>
    <row r="43" spans="2:54" hidden="1" x14ac:dyDescent="0.3">
      <c r="B43" t="s">
        <v>47</v>
      </c>
      <c r="C43">
        <v>58.595300000000002</v>
      </c>
      <c r="D43">
        <v>25.0136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1</v>
      </c>
      <c r="AP43">
        <v>1</v>
      </c>
      <c r="AQ43">
        <v>1</v>
      </c>
      <c r="AR43">
        <v>1</v>
      </c>
      <c r="AS43">
        <v>1</v>
      </c>
      <c r="AT43">
        <v>2</v>
      </c>
      <c r="AU43">
        <v>2</v>
      </c>
      <c r="AV43">
        <v>3</v>
      </c>
      <c r="AW43">
        <v>10</v>
      </c>
      <c r="AX43">
        <v>10</v>
      </c>
      <c r="AY43">
        <v>10</v>
      </c>
      <c r="AZ43">
        <v>10</v>
      </c>
      <c r="BA43">
        <v>12</v>
      </c>
      <c r="BB43">
        <v>16</v>
      </c>
    </row>
    <row r="44" spans="2:54" hidden="1" x14ac:dyDescent="0.3">
      <c r="B44" t="s">
        <v>48</v>
      </c>
      <c r="C44">
        <v>52.132599999999996</v>
      </c>
      <c r="D44">
        <v>5.2912999999999997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1</v>
      </c>
      <c r="AP44">
        <v>1</v>
      </c>
      <c r="AQ44">
        <v>6</v>
      </c>
      <c r="AR44">
        <v>10</v>
      </c>
      <c r="AS44">
        <v>18</v>
      </c>
      <c r="AT44">
        <v>24</v>
      </c>
      <c r="AU44">
        <v>38</v>
      </c>
      <c r="AV44">
        <v>82</v>
      </c>
      <c r="AW44">
        <v>128</v>
      </c>
      <c r="AX44">
        <v>188</v>
      </c>
      <c r="AY44">
        <v>265</v>
      </c>
      <c r="AZ44">
        <v>321</v>
      </c>
      <c r="BA44">
        <v>382</v>
      </c>
      <c r="BB44">
        <v>503</v>
      </c>
    </row>
    <row r="45" spans="2:54" hidden="1" x14ac:dyDescent="0.3">
      <c r="B45" t="s">
        <v>49</v>
      </c>
      <c r="C45">
        <v>43.942399999999999</v>
      </c>
      <c r="D45">
        <v>12.457800000000001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1</v>
      </c>
      <c r="AP45">
        <v>1</v>
      </c>
      <c r="AQ45">
        <v>1</v>
      </c>
      <c r="AR45">
        <v>1</v>
      </c>
      <c r="AS45">
        <v>8</v>
      </c>
      <c r="AT45">
        <v>10</v>
      </c>
      <c r="AU45">
        <v>16</v>
      </c>
      <c r="AV45">
        <v>21</v>
      </c>
      <c r="AW45">
        <v>21</v>
      </c>
      <c r="AX45">
        <v>23</v>
      </c>
      <c r="AY45">
        <v>36</v>
      </c>
      <c r="AZ45">
        <v>36</v>
      </c>
      <c r="BA45">
        <v>51</v>
      </c>
      <c r="BB45">
        <v>62</v>
      </c>
    </row>
    <row r="46" spans="2:54" hidden="1" x14ac:dyDescent="0.3">
      <c r="B46" t="s">
        <v>50</v>
      </c>
      <c r="C46">
        <v>53.709800000000001</v>
      </c>
      <c r="D46">
        <v>27.953399999999998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1</v>
      </c>
      <c r="AQ46">
        <v>1</v>
      </c>
      <c r="AR46">
        <v>1</v>
      </c>
      <c r="AS46">
        <v>1</v>
      </c>
      <c r="AT46">
        <v>1</v>
      </c>
      <c r="AU46">
        <v>6</v>
      </c>
      <c r="AV46">
        <v>6</v>
      </c>
      <c r="AW46">
        <v>6</v>
      </c>
      <c r="AX46">
        <v>6</v>
      </c>
      <c r="AY46">
        <v>6</v>
      </c>
      <c r="AZ46">
        <v>6</v>
      </c>
      <c r="BA46">
        <v>9</v>
      </c>
      <c r="BB46">
        <v>9</v>
      </c>
    </row>
    <row r="47" spans="2:54" hidden="1" x14ac:dyDescent="0.3">
      <c r="B47" t="s">
        <v>51</v>
      </c>
      <c r="C47">
        <v>64.963099999999997</v>
      </c>
      <c r="D47">
        <v>-19.020800000000001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1</v>
      </c>
      <c r="AQ47">
        <v>1</v>
      </c>
      <c r="AR47">
        <v>3</v>
      </c>
      <c r="AS47">
        <v>6</v>
      </c>
      <c r="AT47">
        <v>11</v>
      </c>
      <c r="AU47">
        <v>26</v>
      </c>
      <c r="AV47">
        <v>34</v>
      </c>
      <c r="AW47">
        <v>43</v>
      </c>
      <c r="AX47">
        <v>50</v>
      </c>
      <c r="AY47">
        <v>50</v>
      </c>
      <c r="AZ47">
        <v>58</v>
      </c>
      <c r="BA47">
        <v>69</v>
      </c>
      <c r="BB47">
        <v>85</v>
      </c>
    </row>
    <row r="48" spans="2:54" hidden="1" x14ac:dyDescent="0.3">
      <c r="B48" t="s">
        <v>52</v>
      </c>
      <c r="C48">
        <v>55.169400000000003</v>
      </c>
      <c r="D48">
        <v>23.8813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1</v>
      </c>
      <c r="AQ48">
        <v>1</v>
      </c>
      <c r="AR48">
        <v>1</v>
      </c>
      <c r="AS48">
        <v>1</v>
      </c>
      <c r="AT48">
        <v>1</v>
      </c>
      <c r="AU48">
        <v>1</v>
      </c>
      <c r="AV48">
        <v>1</v>
      </c>
      <c r="AW48">
        <v>1</v>
      </c>
      <c r="AX48">
        <v>1</v>
      </c>
      <c r="AY48">
        <v>1</v>
      </c>
      <c r="AZ48">
        <v>1</v>
      </c>
      <c r="BA48">
        <v>1</v>
      </c>
      <c r="BB48">
        <v>3</v>
      </c>
    </row>
    <row r="49" spans="1:54" hidden="1" x14ac:dyDescent="0.3">
      <c r="B49" t="s">
        <v>53</v>
      </c>
      <c r="C49">
        <v>23.634499999999999</v>
      </c>
      <c r="D49">
        <v>-102.5528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1</v>
      </c>
      <c r="AQ49">
        <v>4</v>
      </c>
      <c r="AR49">
        <v>5</v>
      </c>
      <c r="AS49">
        <v>5</v>
      </c>
      <c r="AT49">
        <v>5</v>
      </c>
      <c r="AU49">
        <v>5</v>
      </c>
      <c r="AV49">
        <v>5</v>
      </c>
      <c r="AW49">
        <v>6</v>
      </c>
      <c r="AX49">
        <v>6</v>
      </c>
      <c r="AY49">
        <v>7</v>
      </c>
      <c r="AZ49">
        <v>7</v>
      </c>
      <c r="BA49">
        <v>7</v>
      </c>
      <c r="BB49">
        <v>8</v>
      </c>
    </row>
    <row r="50" spans="1:54" hidden="1" x14ac:dyDescent="0.3">
      <c r="B50" t="s">
        <v>54</v>
      </c>
      <c r="C50">
        <v>-40.900599999999997</v>
      </c>
      <c r="D50">
        <v>174.886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1</v>
      </c>
      <c r="AQ50">
        <v>1</v>
      </c>
      <c r="AR50">
        <v>1</v>
      </c>
      <c r="AS50">
        <v>1</v>
      </c>
      <c r="AT50">
        <v>1</v>
      </c>
      <c r="AU50">
        <v>3</v>
      </c>
      <c r="AV50">
        <v>3</v>
      </c>
      <c r="AW50">
        <v>4</v>
      </c>
      <c r="AX50">
        <v>5</v>
      </c>
      <c r="AY50">
        <v>5</v>
      </c>
      <c r="AZ50">
        <v>5</v>
      </c>
      <c r="BA50">
        <v>5</v>
      </c>
      <c r="BB50">
        <v>5</v>
      </c>
    </row>
    <row r="51" spans="1:54" hidden="1" x14ac:dyDescent="0.3">
      <c r="B51" t="s">
        <v>55</v>
      </c>
      <c r="C51">
        <v>9.0820000000000007</v>
      </c>
      <c r="D51">
        <v>8.6753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1</v>
      </c>
      <c r="AQ51">
        <v>1</v>
      </c>
      <c r="AR51">
        <v>1</v>
      </c>
      <c r="AS51">
        <v>1</v>
      </c>
      <c r="AT51">
        <v>1</v>
      </c>
      <c r="AU51">
        <v>1</v>
      </c>
      <c r="AV51">
        <v>1</v>
      </c>
      <c r="AW51">
        <v>1</v>
      </c>
      <c r="AX51">
        <v>1</v>
      </c>
      <c r="AY51">
        <v>1</v>
      </c>
      <c r="AZ51">
        <v>2</v>
      </c>
      <c r="BA51">
        <v>2</v>
      </c>
      <c r="BB51">
        <v>2</v>
      </c>
    </row>
    <row r="52" spans="1:54" hidden="1" x14ac:dyDescent="0.3">
      <c r="A52" t="s">
        <v>56</v>
      </c>
      <c r="B52" t="s">
        <v>12</v>
      </c>
      <c r="C52">
        <v>-31.950500000000002</v>
      </c>
      <c r="D52">
        <v>115.8605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2</v>
      </c>
      <c r="AR52">
        <v>2</v>
      </c>
      <c r="AS52">
        <v>2</v>
      </c>
      <c r="AT52">
        <v>2</v>
      </c>
      <c r="AU52">
        <v>2</v>
      </c>
      <c r="AV52">
        <v>3</v>
      </c>
      <c r="AW52">
        <v>3</v>
      </c>
      <c r="AX52">
        <v>3</v>
      </c>
      <c r="AY52">
        <v>3</v>
      </c>
      <c r="AZ52">
        <v>4</v>
      </c>
      <c r="BA52">
        <v>6</v>
      </c>
      <c r="BB52">
        <v>9</v>
      </c>
    </row>
    <row r="53" spans="1:54" hidden="1" x14ac:dyDescent="0.3">
      <c r="B53" t="s">
        <v>57</v>
      </c>
      <c r="C53">
        <v>53.142400000000002</v>
      </c>
      <c r="D53">
        <v>-7.6920999999999999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1</v>
      </c>
      <c r="AR53">
        <v>1</v>
      </c>
      <c r="AS53">
        <v>1</v>
      </c>
      <c r="AT53">
        <v>2</v>
      </c>
      <c r="AU53">
        <v>6</v>
      </c>
      <c r="AV53">
        <v>6</v>
      </c>
      <c r="AW53">
        <v>18</v>
      </c>
      <c r="AX53">
        <v>18</v>
      </c>
      <c r="AY53">
        <v>19</v>
      </c>
      <c r="AZ53">
        <v>21</v>
      </c>
      <c r="BA53">
        <v>34</v>
      </c>
      <c r="BB53">
        <v>43</v>
      </c>
    </row>
    <row r="54" spans="1:54" hidden="1" x14ac:dyDescent="0.3">
      <c r="B54" t="s">
        <v>58</v>
      </c>
      <c r="C54">
        <v>49.815300000000001</v>
      </c>
      <c r="D54">
        <v>6.1295999999999999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1</v>
      </c>
      <c r="AR54">
        <v>1</v>
      </c>
      <c r="AS54">
        <v>1</v>
      </c>
      <c r="AT54">
        <v>1</v>
      </c>
      <c r="AU54">
        <v>1</v>
      </c>
      <c r="AV54">
        <v>1</v>
      </c>
      <c r="AW54">
        <v>2</v>
      </c>
      <c r="AX54">
        <v>2</v>
      </c>
      <c r="AY54">
        <v>3</v>
      </c>
      <c r="AZ54">
        <v>3</v>
      </c>
      <c r="BA54">
        <v>5</v>
      </c>
      <c r="BB54">
        <v>7</v>
      </c>
    </row>
    <row r="55" spans="1:54" hidden="1" x14ac:dyDescent="0.3">
      <c r="B55" t="s">
        <v>59</v>
      </c>
      <c r="C55">
        <v>43.7333</v>
      </c>
      <c r="D55">
        <v>7.4166999999999996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1</v>
      </c>
      <c r="AR55">
        <v>1</v>
      </c>
      <c r="AS55">
        <v>1</v>
      </c>
      <c r="AT55">
        <v>1</v>
      </c>
      <c r="AU55">
        <v>1</v>
      </c>
      <c r="AV55">
        <v>1</v>
      </c>
      <c r="AW55">
        <v>1</v>
      </c>
      <c r="AX55">
        <v>1</v>
      </c>
      <c r="AY55">
        <v>1</v>
      </c>
      <c r="AZ55">
        <v>1</v>
      </c>
      <c r="BA55">
        <v>1</v>
      </c>
      <c r="BB55">
        <v>1</v>
      </c>
    </row>
    <row r="56" spans="1:54" hidden="1" x14ac:dyDescent="0.3">
      <c r="B56" t="s">
        <v>60</v>
      </c>
      <c r="C56">
        <v>25.354800000000001</v>
      </c>
      <c r="D56">
        <v>51.183900000000001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1</v>
      </c>
      <c r="AR56">
        <v>3</v>
      </c>
      <c r="AS56">
        <v>3</v>
      </c>
      <c r="AT56">
        <v>7</v>
      </c>
      <c r="AU56">
        <v>8</v>
      </c>
      <c r="AV56">
        <v>8</v>
      </c>
      <c r="AW56">
        <v>8</v>
      </c>
      <c r="AX56">
        <v>8</v>
      </c>
      <c r="AY56">
        <v>15</v>
      </c>
      <c r="AZ56">
        <v>18</v>
      </c>
      <c r="BA56">
        <v>24</v>
      </c>
      <c r="BB56">
        <v>262</v>
      </c>
    </row>
    <row r="57" spans="1:54" hidden="1" x14ac:dyDescent="0.3">
      <c r="B57" t="s">
        <v>61</v>
      </c>
      <c r="C57">
        <v>-1.8311999999999999</v>
      </c>
      <c r="D57">
        <v>-78.183400000000006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6</v>
      </c>
      <c r="AS57">
        <v>6</v>
      </c>
      <c r="AT57">
        <v>7</v>
      </c>
      <c r="AU57">
        <v>10</v>
      </c>
      <c r="AV57">
        <v>13</v>
      </c>
      <c r="AW57">
        <v>13</v>
      </c>
      <c r="AX57">
        <v>13</v>
      </c>
      <c r="AY57">
        <v>14</v>
      </c>
      <c r="AZ57">
        <v>15</v>
      </c>
      <c r="BA57">
        <v>15</v>
      </c>
      <c r="BB57">
        <v>17</v>
      </c>
    </row>
    <row r="58" spans="1:54" hidden="1" x14ac:dyDescent="0.3">
      <c r="B58" t="s">
        <v>62</v>
      </c>
      <c r="C58">
        <v>40.143099999999997</v>
      </c>
      <c r="D58">
        <v>47.576900000000002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3</v>
      </c>
      <c r="AS58">
        <v>3</v>
      </c>
      <c r="AT58">
        <v>3</v>
      </c>
      <c r="AU58">
        <v>3</v>
      </c>
      <c r="AV58">
        <v>6</v>
      </c>
      <c r="AW58">
        <v>6</v>
      </c>
      <c r="AX58">
        <v>9</v>
      </c>
      <c r="AY58">
        <v>9</v>
      </c>
      <c r="AZ58">
        <v>9</v>
      </c>
      <c r="BA58">
        <v>11</v>
      </c>
      <c r="BB58">
        <v>11</v>
      </c>
    </row>
    <row r="59" spans="1:54" hidden="1" x14ac:dyDescent="0.3">
      <c r="B59" t="s">
        <v>63</v>
      </c>
      <c r="C59">
        <v>40.069099999999999</v>
      </c>
      <c r="D59">
        <v>45.038200000000003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1</v>
      </c>
      <c r="AS59">
        <v>1</v>
      </c>
      <c r="AT59">
        <v>1</v>
      </c>
      <c r="AU59">
        <v>1</v>
      </c>
      <c r="AV59">
        <v>1</v>
      </c>
      <c r="AW59">
        <v>1</v>
      </c>
      <c r="AX59">
        <v>1</v>
      </c>
      <c r="AY59">
        <v>1</v>
      </c>
      <c r="AZ59">
        <v>1</v>
      </c>
      <c r="BA59">
        <v>1</v>
      </c>
      <c r="BB59">
        <v>1</v>
      </c>
    </row>
    <row r="60" spans="1:54" hidden="1" x14ac:dyDescent="0.3">
      <c r="B60" t="s">
        <v>64</v>
      </c>
      <c r="C60">
        <v>18.735700000000001</v>
      </c>
      <c r="D60">
        <v>-70.162700000000001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1</v>
      </c>
      <c r="AS60">
        <v>1</v>
      </c>
      <c r="AT60">
        <v>1</v>
      </c>
      <c r="AU60">
        <v>1</v>
      </c>
      <c r="AV60">
        <v>1</v>
      </c>
      <c r="AW60">
        <v>2</v>
      </c>
      <c r="AX60">
        <v>2</v>
      </c>
      <c r="AY60">
        <v>5</v>
      </c>
      <c r="AZ60">
        <v>5</v>
      </c>
      <c r="BA60">
        <v>5</v>
      </c>
      <c r="BB60">
        <v>5</v>
      </c>
    </row>
    <row r="61" spans="1:54" hidden="1" x14ac:dyDescent="0.3">
      <c r="B61" t="s">
        <v>65</v>
      </c>
      <c r="C61">
        <v>-0.7893</v>
      </c>
      <c r="D61">
        <v>113.9213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2</v>
      </c>
      <c r="AT61">
        <v>2</v>
      </c>
      <c r="AU61">
        <v>2</v>
      </c>
      <c r="AV61">
        <v>2</v>
      </c>
      <c r="AW61">
        <v>4</v>
      </c>
      <c r="AX61">
        <v>4</v>
      </c>
      <c r="AY61">
        <v>6</v>
      </c>
      <c r="AZ61">
        <v>19</v>
      </c>
      <c r="BA61">
        <v>27</v>
      </c>
      <c r="BB61">
        <v>34</v>
      </c>
    </row>
    <row r="62" spans="1:54" hidden="1" x14ac:dyDescent="0.3">
      <c r="B62" t="s">
        <v>66</v>
      </c>
      <c r="C62">
        <v>39.399900000000002</v>
      </c>
      <c r="D62">
        <v>-8.2245000000000008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2</v>
      </c>
      <c r="AT62">
        <v>2</v>
      </c>
      <c r="AU62">
        <v>5</v>
      </c>
      <c r="AV62">
        <v>8</v>
      </c>
      <c r="AW62">
        <v>13</v>
      </c>
      <c r="AX62">
        <v>20</v>
      </c>
      <c r="AY62">
        <v>30</v>
      </c>
      <c r="AZ62">
        <v>30</v>
      </c>
      <c r="BA62">
        <v>41</v>
      </c>
      <c r="BB62">
        <v>59</v>
      </c>
    </row>
    <row r="63" spans="1:54" hidden="1" x14ac:dyDescent="0.3">
      <c r="B63" t="s">
        <v>67</v>
      </c>
      <c r="C63">
        <v>42.506300000000003</v>
      </c>
      <c r="D63">
        <v>1.5218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1</v>
      </c>
      <c r="AT63">
        <v>1</v>
      </c>
      <c r="AU63">
        <v>1</v>
      </c>
      <c r="AV63">
        <v>1</v>
      </c>
      <c r="AW63">
        <v>1</v>
      </c>
      <c r="AX63">
        <v>1</v>
      </c>
      <c r="AY63">
        <v>1</v>
      </c>
      <c r="AZ63">
        <v>1</v>
      </c>
      <c r="BA63">
        <v>1</v>
      </c>
      <c r="BB63">
        <v>1</v>
      </c>
    </row>
    <row r="64" spans="1:54" hidden="1" x14ac:dyDescent="0.3">
      <c r="A64" t="s">
        <v>68</v>
      </c>
      <c r="B64" t="s">
        <v>12</v>
      </c>
      <c r="C64">
        <v>-41.454500000000003</v>
      </c>
      <c r="D64">
        <v>145.97069999999999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1</v>
      </c>
      <c r="AT64">
        <v>1</v>
      </c>
      <c r="AU64">
        <v>1</v>
      </c>
      <c r="AV64">
        <v>1</v>
      </c>
      <c r="AW64">
        <v>1</v>
      </c>
      <c r="AX64">
        <v>1</v>
      </c>
      <c r="AY64">
        <v>2</v>
      </c>
      <c r="AZ64">
        <v>2</v>
      </c>
      <c r="BA64">
        <v>2</v>
      </c>
      <c r="BB64">
        <v>3</v>
      </c>
    </row>
    <row r="65" spans="1:54" hidden="1" x14ac:dyDescent="0.3">
      <c r="B65" t="s">
        <v>69</v>
      </c>
      <c r="C65">
        <v>56.879600000000003</v>
      </c>
      <c r="D65">
        <v>24.603200000000001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1</v>
      </c>
      <c r="AT65">
        <v>1</v>
      </c>
      <c r="AU65">
        <v>1</v>
      </c>
      <c r="AV65">
        <v>1</v>
      </c>
      <c r="AW65">
        <v>1</v>
      </c>
      <c r="AX65">
        <v>1</v>
      </c>
      <c r="AY65">
        <v>2</v>
      </c>
      <c r="AZ65">
        <v>6</v>
      </c>
      <c r="BA65">
        <v>8</v>
      </c>
      <c r="BB65">
        <v>10</v>
      </c>
    </row>
    <row r="66" spans="1:54" hidden="1" x14ac:dyDescent="0.3">
      <c r="B66" t="s">
        <v>70</v>
      </c>
      <c r="C66">
        <v>31.791699999999999</v>
      </c>
      <c r="D66">
        <v>-7.0926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1</v>
      </c>
      <c r="AT66">
        <v>1</v>
      </c>
      <c r="AU66">
        <v>1</v>
      </c>
      <c r="AV66">
        <v>2</v>
      </c>
      <c r="AW66">
        <v>2</v>
      </c>
      <c r="AX66">
        <v>2</v>
      </c>
      <c r="AY66">
        <v>2</v>
      </c>
      <c r="AZ66">
        <v>2</v>
      </c>
      <c r="BA66">
        <v>3</v>
      </c>
      <c r="BB66">
        <v>5</v>
      </c>
    </row>
    <row r="67" spans="1:54" hidden="1" x14ac:dyDescent="0.3">
      <c r="B67" t="s">
        <v>71</v>
      </c>
      <c r="C67">
        <v>24</v>
      </c>
      <c r="D67">
        <v>45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1</v>
      </c>
      <c r="AT67">
        <v>1</v>
      </c>
      <c r="AU67">
        <v>1</v>
      </c>
      <c r="AV67">
        <v>5</v>
      </c>
      <c r="AW67">
        <v>5</v>
      </c>
      <c r="AX67">
        <v>5</v>
      </c>
      <c r="AY67">
        <v>11</v>
      </c>
      <c r="AZ67">
        <v>15</v>
      </c>
      <c r="BA67">
        <v>20</v>
      </c>
      <c r="BB67">
        <v>21</v>
      </c>
    </row>
    <row r="68" spans="1:54" hidden="1" x14ac:dyDescent="0.3">
      <c r="B68" t="s">
        <v>72</v>
      </c>
      <c r="C68">
        <v>14.497400000000001</v>
      </c>
      <c r="D68">
        <v>-14.452400000000001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1</v>
      </c>
      <c r="AT68">
        <v>2</v>
      </c>
      <c r="AU68">
        <v>4</v>
      </c>
      <c r="AV68">
        <v>4</v>
      </c>
      <c r="AW68">
        <v>4</v>
      </c>
      <c r="AX68">
        <v>4</v>
      </c>
      <c r="AY68">
        <v>4</v>
      </c>
      <c r="AZ68">
        <v>4</v>
      </c>
      <c r="BA68">
        <v>4</v>
      </c>
      <c r="BB68">
        <v>4</v>
      </c>
    </row>
    <row r="69" spans="1:54" hidden="1" x14ac:dyDescent="0.3">
      <c r="B69" t="s">
        <v>73</v>
      </c>
      <c r="C69">
        <v>-38.4161</v>
      </c>
      <c r="D69">
        <v>-63.616700000000002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1</v>
      </c>
      <c r="AU69">
        <v>1</v>
      </c>
      <c r="AV69">
        <v>1</v>
      </c>
      <c r="AW69">
        <v>2</v>
      </c>
      <c r="AX69">
        <v>8</v>
      </c>
      <c r="AY69">
        <v>12</v>
      </c>
      <c r="AZ69">
        <v>12</v>
      </c>
      <c r="BA69">
        <v>17</v>
      </c>
      <c r="BB69">
        <v>19</v>
      </c>
    </row>
    <row r="70" spans="1:54" hidden="1" x14ac:dyDescent="0.3">
      <c r="B70" t="s">
        <v>74</v>
      </c>
      <c r="C70">
        <v>-35.6751</v>
      </c>
      <c r="D70">
        <v>-71.543000000000006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1</v>
      </c>
      <c r="AU70">
        <v>1</v>
      </c>
      <c r="AV70">
        <v>4</v>
      </c>
      <c r="AW70">
        <v>4</v>
      </c>
      <c r="AX70">
        <v>4</v>
      </c>
      <c r="AY70">
        <v>8</v>
      </c>
      <c r="AZ70">
        <v>8</v>
      </c>
      <c r="BA70">
        <v>13</v>
      </c>
      <c r="BB70">
        <v>23</v>
      </c>
    </row>
    <row r="71" spans="1:54" hidden="1" x14ac:dyDescent="0.3">
      <c r="B71" t="s">
        <v>75</v>
      </c>
      <c r="C71">
        <v>31.24</v>
      </c>
      <c r="D71">
        <v>36.51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1</v>
      </c>
      <c r="AU71">
        <v>1</v>
      </c>
      <c r="AV71">
        <v>1</v>
      </c>
      <c r="AW71">
        <v>1</v>
      </c>
      <c r="AX71">
        <v>1</v>
      </c>
      <c r="AY71">
        <v>1</v>
      </c>
      <c r="AZ71">
        <v>1</v>
      </c>
      <c r="BA71">
        <v>1</v>
      </c>
      <c r="BB71">
        <v>1</v>
      </c>
    </row>
    <row r="72" spans="1:54" hidden="1" x14ac:dyDescent="0.3">
      <c r="B72" t="s">
        <v>76</v>
      </c>
      <c r="C72">
        <v>48.379399999999997</v>
      </c>
      <c r="D72">
        <v>31.165600000000001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1</v>
      </c>
      <c r="AU72">
        <v>1</v>
      </c>
      <c r="AV72">
        <v>1</v>
      </c>
      <c r="AW72">
        <v>1</v>
      </c>
      <c r="AX72">
        <v>1</v>
      </c>
      <c r="AY72">
        <v>1</v>
      </c>
      <c r="AZ72">
        <v>1</v>
      </c>
      <c r="BA72">
        <v>1</v>
      </c>
      <c r="BB72">
        <v>1</v>
      </c>
    </row>
    <row r="73" spans="1:54" hidden="1" x14ac:dyDescent="0.3">
      <c r="B73" t="s">
        <v>77</v>
      </c>
      <c r="C73">
        <v>47.162500000000001</v>
      </c>
      <c r="D73">
        <v>19.503299999999999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2</v>
      </c>
      <c r="AV73">
        <v>2</v>
      </c>
      <c r="AW73">
        <v>2</v>
      </c>
      <c r="AX73">
        <v>4</v>
      </c>
      <c r="AY73">
        <v>7</v>
      </c>
      <c r="AZ73">
        <v>9</v>
      </c>
      <c r="BA73">
        <v>9</v>
      </c>
      <c r="BB73">
        <v>13</v>
      </c>
    </row>
    <row r="74" spans="1:54" hidden="1" x14ac:dyDescent="0.3">
      <c r="A74" t="s">
        <v>78</v>
      </c>
      <c r="B74" t="s">
        <v>12</v>
      </c>
      <c r="C74">
        <v>-12.4634</v>
      </c>
      <c r="D74">
        <v>130.84559999999999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1</v>
      </c>
      <c r="AV74">
        <v>1</v>
      </c>
      <c r="AW74">
        <v>0</v>
      </c>
      <c r="AX74">
        <v>0</v>
      </c>
      <c r="AY74">
        <v>0</v>
      </c>
      <c r="AZ74">
        <v>0</v>
      </c>
      <c r="BA74">
        <v>1</v>
      </c>
      <c r="BB74">
        <v>1</v>
      </c>
    </row>
    <row r="75" spans="1:54" hidden="1" x14ac:dyDescent="0.3">
      <c r="B75" t="s">
        <v>79</v>
      </c>
      <c r="C75">
        <v>47.14</v>
      </c>
      <c r="D75">
        <v>9.5500000000000007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1</v>
      </c>
      <c r="AV75">
        <v>1</v>
      </c>
      <c r="AW75">
        <v>1</v>
      </c>
      <c r="AX75">
        <v>1</v>
      </c>
      <c r="AY75">
        <v>1</v>
      </c>
      <c r="AZ75">
        <v>1</v>
      </c>
      <c r="BA75">
        <v>1</v>
      </c>
      <c r="BB75">
        <v>1</v>
      </c>
    </row>
    <row r="76" spans="1:54" hidden="1" x14ac:dyDescent="0.3">
      <c r="B76" t="s">
        <v>80</v>
      </c>
      <c r="C76">
        <v>51.919400000000003</v>
      </c>
      <c r="D76">
        <v>19.145099999999999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1</v>
      </c>
      <c r="AV76">
        <v>1</v>
      </c>
      <c r="AW76">
        <v>5</v>
      </c>
      <c r="AX76">
        <v>5</v>
      </c>
      <c r="AY76">
        <v>11</v>
      </c>
      <c r="AZ76">
        <v>16</v>
      </c>
      <c r="BA76">
        <v>22</v>
      </c>
      <c r="BB76">
        <v>31</v>
      </c>
    </row>
    <row r="77" spans="1:54" hidden="1" x14ac:dyDescent="0.3">
      <c r="B77" t="s">
        <v>81</v>
      </c>
      <c r="C77">
        <v>34</v>
      </c>
      <c r="D77">
        <v>9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1</v>
      </c>
      <c r="AV77">
        <v>1</v>
      </c>
      <c r="AW77">
        <v>1</v>
      </c>
      <c r="AX77">
        <v>1</v>
      </c>
      <c r="AY77">
        <v>2</v>
      </c>
      <c r="AZ77">
        <v>2</v>
      </c>
      <c r="BA77">
        <v>5</v>
      </c>
      <c r="BB77">
        <v>7</v>
      </c>
    </row>
    <row r="78" spans="1:54" hidden="1" x14ac:dyDescent="0.3">
      <c r="B78" t="s">
        <v>82</v>
      </c>
      <c r="C78">
        <v>43.915900000000001</v>
      </c>
      <c r="D78">
        <v>17.679099999999998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2</v>
      </c>
      <c r="AW78">
        <v>2</v>
      </c>
      <c r="AX78">
        <v>3</v>
      </c>
      <c r="AY78">
        <v>3</v>
      </c>
      <c r="AZ78">
        <v>3</v>
      </c>
      <c r="BA78">
        <v>5</v>
      </c>
      <c r="BB78">
        <v>7</v>
      </c>
    </row>
    <row r="79" spans="1:54" hidden="1" x14ac:dyDescent="0.3">
      <c r="B79" t="s">
        <v>83</v>
      </c>
      <c r="C79">
        <v>46.151200000000003</v>
      </c>
      <c r="D79">
        <v>14.9955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2</v>
      </c>
      <c r="AW79">
        <v>7</v>
      </c>
      <c r="AX79">
        <v>7</v>
      </c>
      <c r="AY79">
        <v>16</v>
      </c>
      <c r="AZ79">
        <v>16</v>
      </c>
      <c r="BA79">
        <v>31</v>
      </c>
      <c r="BB79">
        <v>57</v>
      </c>
    </row>
    <row r="80" spans="1:54" hidden="1" x14ac:dyDescent="0.3">
      <c r="B80" t="s">
        <v>84</v>
      </c>
      <c r="C80">
        <v>-30.5595</v>
      </c>
      <c r="D80">
        <v>22.9375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1</v>
      </c>
      <c r="AW80">
        <v>1</v>
      </c>
      <c r="AX80">
        <v>1</v>
      </c>
      <c r="AY80">
        <v>3</v>
      </c>
      <c r="AZ80">
        <v>3</v>
      </c>
      <c r="BA80">
        <v>7</v>
      </c>
      <c r="BB80">
        <v>13</v>
      </c>
    </row>
    <row r="81" spans="1:54" hidden="1" x14ac:dyDescent="0.3">
      <c r="B81" t="s">
        <v>85</v>
      </c>
      <c r="C81">
        <v>27.514199999999999</v>
      </c>
      <c r="D81">
        <v>90.433599999999998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1</v>
      </c>
      <c r="AX81">
        <v>1</v>
      </c>
      <c r="AY81">
        <v>1</v>
      </c>
      <c r="AZ81">
        <v>1</v>
      </c>
      <c r="BA81">
        <v>1</v>
      </c>
      <c r="BB81">
        <v>1</v>
      </c>
    </row>
    <row r="82" spans="1:54" hidden="1" x14ac:dyDescent="0.3">
      <c r="B82" t="s">
        <v>86</v>
      </c>
      <c r="C82">
        <v>3.8479999999999999</v>
      </c>
      <c r="D82">
        <v>11.5021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1</v>
      </c>
      <c r="AX82">
        <v>1</v>
      </c>
      <c r="AY82">
        <v>2</v>
      </c>
      <c r="AZ82">
        <v>2</v>
      </c>
      <c r="BA82">
        <v>2</v>
      </c>
      <c r="BB82">
        <v>2</v>
      </c>
    </row>
    <row r="83" spans="1:54" hidden="1" x14ac:dyDescent="0.3">
      <c r="B83" t="s">
        <v>87</v>
      </c>
      <c r="C83">
        <v>4.5709</v>
      </c>
      <c r="D83">
        <v>-74.297300000000007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1</v>
      </c>
      <c r="AX83">
        <v>1</v>
      </c>
      <c r="AY83">
        <v>1</v>
      </c>
      <c r="AZ83">
        <v>1</v>
      </c>
      <c r="BA83">
        <v>3</v>
      </c>
      <c r="BB83">
        <v>9</v>
      </c>
    </row>
    <row r="84" spans="1:54" hidden="1" x14ac:dyDescent="0.3">
      <c r="B84" t="s">
        <v>88</v>
      </c>
      <c r="C84">
        <v>9.7489000000000008</v>
      </c>
      <c r="D84">
        <v>-83.753399999999999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1</v>
      </c>
      <c r="AX84">
        <v>1</v>
      </c>
      <c r="AY84">
        <v>5</v>
      </c>
      <c r="AZ84">
        <v>9</v>
      </c>
      <c r="BA84">
        <v>9</v>
      </c>
      <c r="BB84">
        <v>13</v>
      </c>
    </row>
    <row r="85" spans="1:54" hidden="1" x14ac:dyDescent="0.3">
      <c r="B85" t="s">
        <v>89</v>
      </c>
      <c r="C85">
        <v>-9.19</v>
      </c>
      <c r="D85">
        <v>-75.015199999999993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1</v>
      </c>
      <c r="AX85">
        <v>1</v>
      </c>
      <c r="AY85">
        <v>6</v>
      </c>
      <c r="AZ85">
        <v>7</v>
      </c>
      <c r="BA85">
        <v>11</v>
      </c>
      <c r="BB85">
        <v>11</v>
      </c>
    </row>
    <row r="86" spans="1:54" hidden="1" x14ac:dyDescent="0.3">
      <c r="B86" t="s">
        <v>90</v>
      </c>
      <c r="C86">
        <v>44.016500000000001</v>
      </c>
      <c r="D86">
        <v>21.0059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1</v>
      </c>
      <c r="AX86">
        <v>1</v>
      </c>
      <c r="AY86">
        <v>1</v>
      </c>
      <c r="AZ86">
        <v>1</v>
      </c>
      <c r="BA86">
        <v>5</v>
      </c>
      <c r="BB86">
        <v>12</v>
      </c>
    </row>
    <row r="87" spans="1:54" hidden="1" x14ac:dyDescent="0.3">
      <c r="B87" t="s">
        <v>91</v>
      </c>
      <c r="C87">
        <v>48.668999999999997</v>
      </c>
      <c r="D87">
        <v>19.699000000000002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1</v>
      </c>
      <c r="AX87">
        <v>1</v>
      </c>
      <c r="AY87">
        <v>3</v>
      </c>
      <c r="AZ87">
        <v>3</v>
      </c>
      <c r="BA87">
        <v>7</v>
      </c>
      <c r="BB87">
        <v>10</v>
      </c>
    </row>
    <row r="88" spans="1:54" hidden="1" x14ac:dyDescent="0.3">
      <c r="B88" t="s">
        <v>92</v>
      </c>
      <c r="C88">
        <v>8.6195000000000004</v>
      </c>
      <c r="D88">
        <v>0.82479999999999998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1</v>
      </c>
      <c r="AX88">
        <v>1</v>
      </c>
      <c r="AY88">
        <v>1</v>
      </c>
      <c r="AZ88">
        <v>1</v>
      </c>
      <c r="BA88">
        <v>1</v>
      </c>
      <c r="BB88">
        <v>1</v>
      </c>
    </row>
    <row r="89" spans="1:54" hidden="1" x14ac:dyDescent="0.3">
      <c r="B89" t="s">
        <v>93</v>
      </c>
      <c r="C89">
        <v>3.9339</v>
      </c>
      <c r="D89">
        <v>-53.125799999999998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5</v>
      </c>
      <c r="AY89">
        <v>5</v>
      </c>
      <c r="AZ89">
        <v>5</v>
      </c>
      <c r="BA89">
        <v>5</v>
      </c>
      <c r="BB89">
        <v>5</v>
      </c>
    </row>
    <row r="90" spans="1:54" hidden="1" x14ac:dyDescent="0.3">
      <c r="B90" t="s">
        <v>94</v>
      </c>
      <c r="C90">
        <v>35.9375</v>
      </c>
      <c r="D90">
        <v>14.375400000000001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3</v>
      </c>
      <c r="AY90">
        <v>3</v>
      </c>
      <c r="AZ90">
        <v>3</v>
      </c>
      <c r="BA90">
        <v>5</v>
      </c>
      <c r="BB90">
        <v>6</v>
      </c>
    </row>
    <row r="91" spans="1:54" hidden="1" x14ac:dyDescent="0.3">
      <c r="B91" t="s">
        <v>95</v>
      </c>
      <c r="C91">
        <v>14.641500000000001</v>
      </c>
      <c r="D91">
        <v>-61.0242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2</v>
      </c>
      <c r="AY91">
        <v>2</v>
      </c>
      <c r="AZ91">
        <v>2</v>
      </c>
      <c r="BA91">
        <v>2</v>
      </c>
      <c r="BB91">
        <v>3</v>
      </c>
    </row>
    <row r="92" spans="1:54" hidden="1" x14ac:dyDescent="0.3">
      <c r="B92" t="s">
        <v>96</v>
      </c>
      <c r="C92">
        <v>42.733899999999998</v>
      </c>
      <c r="D92">
        <v>25.485800000000001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4</v>
      </c>
      <c r="AZ92">
        <v>4</v>
      </c>
      <c r="BA92">
        <v>4</v>
      </c>
      <c r="BB92">
        <v>7</v>
      </c>
    </row>
    <row r="93" spans="1:54" hidden="1" x14ac:dyDescent="0.3">
      <c r="B93" t="s">
        <v>97</v>
      </c>
      <c r="C93">
        <v>3.2027999999999999</v>
      </c>
      <c r="D93">
        <v>73.220699999999994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4</v>
      </c>
      <c r="AZ93">
        <v>4</v>
      </c>
      <c r="BA93">
        <v>6</v>
      </c>
      <c r="BB93">
        <v>8</v>
      </c>
    </row>
    <row r="94" spans="1:54" hidden="1" x14ac:dyDescent="0.3">
      <c r="B94" t="s">
        <v>98</v>
      </c>
      <c r="C94">
        <v>23.684999999999999</v>
      </c>
      <c r="D94">
        <v>90.356300000000005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3</v>
      </c>
      <c r="AZ94">
        <v>3</v>
      </c>
      <c r="BA94">
        <v>3</v>
      </c>
      <c r="BB94">
        <v>3</v>
      </c>
    </row>
    <row r="95" spans="1:54" hidden="1" x14ac:dyDescent="0.3">
      <c r="B95" t="s">
        <v>99</v>
      </c>
      <c r="C95">
        <v>-23.442499999999999</v>
      </c>
      <c r="D95">
        <v>-58.443800000000003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1</v>
      </c>
      <c r="AZ95">
        <v>1</v>
      </c>
      <c r="BA95">
        <v>1</v>
      </c>
      <c r="BB95">
        <v>5</v>
      </c>
    </row>
    <row r="96" spans="1:54" hidden="1" x14ac:dyDescent="0.3">
      <c r="A96" t="s">
        <v>100</v>
      </c>
      <c r="B96" t="s">
        <v>10</v>
      </c>
      <c r="C96">
        <v>51.253799999999998</v>
      </c>
      <c r="D96">
        <v>-85.3232</v>
      </c>
      <c r="E96">
        <v>0</v>
      </c>
      <c r="F96">
        <v>0</v>
      </c>
      <c r="G96">
        <v>0</v>
      </c>
      <c r="H96">
        <v>0</v>
      </c>
      <c r="I96">
        <v>1</v>
      </c>
      <c r="J96">
        <v>1</v>
      </c>
      <c r="K96">
        <v>1</v>
      </c>
      <c r="L96">
        <v>1</v>
      </c>
      <c r="M96">
        <v>1</v>
      </c>
      <c r="N96">
        <v>3</v>
      </c>
      <c r="O96">
        <v>3</v>
      </c>
      <c r="P96">
        <v>3</v>
      </c>
      <c r="Q96">
        <v>3</v>
      </c>
      <c r="R96">
        <v>3</v>
      </c>
      <c r="S96">
        <v>3</v>
      </c>
      <c r="T96">
        <v>3</v>
      </c>
      <c r="U96">
        <v>3</v>
      </c>
      <c r="V96">
        <v>3</v>
      </c>
      <c r="W96">
        <v>3</v>
      </c>
      <c r="X96">
        <v>3</v>
      </c>
      <c r="Y96">
        <v>3</v>
      </c>
      <c r="Z96">
        <v>3</v>
      </c>
      <c r="AA96">
        <v>3</v>
      </c>
      <c r="AB96">
        <v>3</v>
      </c>
      <c r="AC96">
        <v>3</v>
      </c>
      <c r="AD96">
        <v>3</v>
      </c>
      <c r="AE96">
        <v>3</v>
      </c>
      <c r="AF96">
        <v>3</v>
      </c>
      <c r="AG96">
        <v>3</v>
      </c>
      <c r="AH96">
        <v>3</v>
      </c>
      <c r="AI96">
        <v>3</v>
      </c>
      <c r="AJ96">
        <v>3</v>
      </c>
      <c r="AK96">
        <v>3</v>
      </c>
      <c r="AL96">
        <v>4</v>
      </c>
      <c r="AM96">
        <v>4</v>
      </c>
      <c r="AN96">
        <v>4</v>
      </c>
      <c r="AO96">
        <v>6</v>
      </c>
      <c r="AP96">
        <v>6</v>
      </c>
      <c r="AQ96">
        <v>11</v>
      </c>
      <c r="AR96">
        <v>15</v>
      </c>
      <c r="AS96">
        <v>18</v>
      </c>
      <c r="AT96">
        <v>20</v>
      </c>
      <c r="AU96">
        <v>20</v>
      </c>
      <c r="AV96">
        <v>22</v>
      </c>
      <c r="AW96">
        <v>25</v>
      </c>
      <c r="AX96">
        <v>28</v>
      </c>
      <c r="AY96">
        <v>29</v>
      </c>
      <c r="AZ96">
        <v>34</v>
      </c>
      <c r="BA96">
        <v>36</v>
      </c>
      <c r="BB96">
        <v>41</v>
      </c>
    </row>
    <row r="97" spans="1:54" hidden="1" x14ac:dyDescent="0.3">
      <c r="A97" t="s">
        <v>101</v>
      </c>
      <c r="B97" t="s">
        <v>10</v>
      </c>
      <c r="C97">
        <v>53.933300000000003</v>
      </c>
      <c r="D97">
        <v>-116.5765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1</v>
      </c>
      <c r="AX97">
        <v>2</v>
      </c>
      <c r="AY97">
        <v>4</v>
      </c>
      <c r="AZ97">
        <v>7</v>
      </c>
      <c r="BA97">
        <v>7</v>
      </c>
      <c r="BB97">
        <v>19</v>
      </c>
    </row>
    <row r="98" spans="1:54" hidden="1" x14ac:dyDescent="0.3">
      <c r="A98" t="s">
        <v>102</v>
      </c>
      <c r="B98" t="s">
        <v>10</v>
      </c>
      <c r="C98">
        <v>52.939900000000002</v>
      </c>
      <c r="D98">
        <v>-73.549099999999996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1</v>
      </c>
      <c r="AQ98">
        <v>1</v>
      </c>
      <c r="AR98">
        <v>1</v>
      </c>
      <c r="AS98">
        <v>1</v>
      </c>
      <c r="AT98">
        <v>1</v>
      </c>
      <c r="AU98">
        <v>1</v>
      </c>
      <c r="AV98">
        <v>2</v>
      </c>
      <c r="AW98">
        <v>2</v>
      </c>
      <c r="AX98">
        <v>3</v>
      </c>
      <c r="AY98">
        <v>4</v>
      </c>
      <c r="AZ98">
        <v>4</v>
      </c>
      <c r="BA98">
        <v>4</v>
      </c>
      <c r="BB98">
        <v>8</v>
      </c>
    </row>
    <row r="99" spans="1:54" hidden="1" x14ac:dyDescent="0.3">
      <c r="B99" t="s">
        <v>103</v>
      </c>
      <c r="C99">
        <v>41.153300000000002</v>
      </c>
      <c r="D99">
        <v>20.168299999999999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2</v>
      </c>
      <c r="BA99">
        <v>10</v>
      </c>
      <c r="BB99">
        <v>12</v>
      </c>
    </row>
    <row r="100" spans="1:54" hidden="1" x14ac:dyDescent="0.3">
      <c r="B100" t="s">
        <v>104</v>
      </c>
      <c r="C100">
        <v>35.126399999999997</v>
      </c>
      <c r="D100">
        <v>33.429900000000004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2</v>
      </c>
      <c r="BA100">
        <v>3</v>
      </c>
      <c r="BB100">
        <v>6</v>
      </c>
    </row>
    <row r="101" spans="1:54" hidden="1" x14ac:dyDescent="0.3">
      <c r="B101" t="s">
        <v>105</v>
      </c>
      <c r="C101">
        <v>4.5353000000000003</v>
      </c>
      <c r="D101">
        <v>114.7277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1</v>
      </c>
      <c r="BA101">
        <v>1</v>
      </c>
      <c r="BB101">
        <v>11</v>
      </c>
    </row>
    <row r="102" spans="1:54" hidden="1" x14ac:dyDescent="0.3">
      <c r="A102" t="s">
        <v>106</v>
      </c>
      <c r="B102" t="s">
        <v>107</v>
      </c>
      <c r="C102">
        <v>47.4009</v>
      </c>
      <c r="D102">
        <v>-121.4905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267</v>
      </c>
      <c r="BB102">
        <v>366</v>
      </c>
    </row>
    <row r="103" spans="1:54" hidden="1" x14ac:dyDescent="0.3">
      <c r="A103" t="s">
        <v>108</v>
      </c>
      <c r="B103" t="s">
        <v>107</v>
      </c>
      <c r="C103">
        <v>42.165700000000001</v>
      </c>
      <c r="D103">
        <v>-74.948099999999997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173</v>
      </c>
      <c r="BB103">
        <v>220</v>
      </c>
    </row>
    <row r="104" spans="1:54" x14ac:dyDescent="0.3">
      <c r="A104" t="s">
        <v>109</v>
      </c>
      <c r="B104" t="s">
        <v>107</v>
      </c>
      <c r="C104">
        <v>36.116199999999999</v>
      </c>
      <c r="D104">
        <v>-119.6816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144</v>
      </c>
      <c r="BB104">
        <v>177</v>
      </c>
    </row>
    <row r="105" spans="1:54" hidden="1" x14ac:dyDescent="0.3">
      <c r="A105" t="s">
        <v>110</v>
      </c>
      <c r="B105" t="s">
        <v>107</v>
      </c>
      <c r="C105">
        <v>42.230200000000004</v>
      </c>
      <c r="D105">
        <v>-71.530100000000004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92</v>
      </c>
      <c r="BB105">
        <v>95</v>
      </c>
    </row>
    <row r="106" spans="1:54" hidden="1" x14ac:dyDescent="0.3">
      <c r="A106" t="s">
        <v>111</v>
      </c>
      <c r="B106" t="s">
        <v>107</v>
      </c>
      <c r="C106">
        <v>35.4437</v>
      </c>
      <c r="D106">
        <v>139.63800000000001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36</v>
      </c>
      <c r="AM106">
        <v>36</v>
      </c>
      <c r="AN106">
        <v>42</v>
      </c>
      <c r="AO106">
        <v>42</v>
      </c>
      <c r="AP106">
        <v>44</v>
      </c>
      <c r="AQ106">
        <v>44</v>
      </c>
      <c r="AR106">
        <v>44</v>
      </c>
      <c r="AS106">
        <v>45</v>
      </c>
      <c r="AT106">
        <v>45</v>
      </c>
      <c r="AU106">
        <v>45</v>
      </c>
      <c r="AV106">
        <v>45</v>
      </c>
      <c r="AW106">
        <v>45</v>
      </c>
      <c r="AX106">
        <v>45</v>
      </c>
      <c r="AY106">
        <v>45</v>
      </c>
      <c r="AZ106">
        <v>45</v>
      </c>
      <c r="BA106">
        <v>46</v>
      </c>
      <c r="BB106">
        <v>46</v>
      </c>
    </row>
    <row r="107" spans="1:54" hidden="1" x14ac:dyDescent="0.3">
      <c r="A107" t="s">
        <v>112</v>
      </c>
      <c r="B107" t="s">
        <v>107</v>
      </c>
      <c r="C107">
        <v>37.648899999999998</v>
      </c>
      <c r="D107">
        <v>-122.66549999999999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21</v>
      </c>
      <c r="AY107">
        <v>21</v>
      </c>
      <c r="AZ107">
        <v>21</v>
      </c>
      <c r="BA107">
        <v>21</v>
      </c>
      <c r="BB107">
        <v>21</v>
      </c>
    </row>
    <row r="108" spans="1:54" hidden="1" x14ac:dyDescent="0.3">
      <c r="A108" t="s">
        <v>42</v>
      </c>
      <c r="B108" t="s">
        <v>107</v>
      </c>
      <c r="C108">
        <v>33.040599999999998</v>
      </c>
      <c r="D108">
        <v>-83.643100000000004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17</v>
      </c>
      <c r="BB108">
        <v>23</v>
      </c>
    </row>
    <row r="109" spans="1:54" hidden="1" x14ac:dyDescent="0.3">
      <c r="A109" t="s">
        <v>113</v>
      </c>
      <c r="B109" t="s">
        <v>107</v>
      </c>
      <c r="C109">
        <v>39.059800000000003</v>
      </c>
      <c r="D109">
        <v>-105.3111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15</v>
      </c>
      <c r="BB109">
        <v>34</v>
      </c>
    </row>
    <row r="110" spans="1:54" hidden="1" x14ac:dyDescent="0.3">
      <c r="A110" t="s">
        <v>114</v>
      </c>
      <c r="B110" t="s">
        <v>107</v>
      </c>
      <c r="C110">
        <v>27.766300000000001</v>
      </c>
      <c r="D110">
        <v>-81.686800000000005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15</v>
      </c>
      <c r="BB110">
        <v>28</v>
      </c>
    </row>
    <row r="111" spans="1:54" hidden="1" x14ac:dyDescent="0.3">
      <c r="A111" t="s">
        <v>115</v>
      </c>
      <c r="B111" t="s">
        <v>107</v>
      </c>
      <c r="C111">
        <v>40.298900000000003</v>
      </c>
      <c r="D111">
        <v>-74.521000000000001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15</v>
      </c>
      <c r="BB111">
        <v>23</v>
      </c>
    </row>
    <row r="112" spans="1:54" hidden="1" x14ac:dyDescent="0.3">
      <c r="A112" t="s">
        <v>116</v>
      </c>
      <c r="B112" t="s">
        <v>107</v>
      </c>
      <c r="C112">
        <v>44.572000000000003</v>
      </c>
      <c r="D112">
        <v>-122.07089999999999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15</v>
      </c>
      <c r="BB112">
        <v>19</v>
      </c>
    </row>
    <row r="113" spans="1:54" hidden="1" x14ac:dyDescent="0.3">
      <c r="A113" t="s">
        <v>117</v>
      </c>
      <c r="B113" t="s">
        <v>107</v>
      </c>
      <c r="C113">
        <v>31.054500000000001</v>
      </c>
      <c r="D113">
        <v>-97.563500000000005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13</v>
      </c>
      <c r="BB113">
        <v>21</v>
      </c>
    </row>
    <row r="114" spans="1:54" hidden="1" x14ac:dyDescent="0.3">
      <c r="A114" t="s">
        <v>118</v>
      </c>
      <c r="B114" t="s">
        <v>107</v>
      </c>
      <c r="C114">
        <v>40.349499999999999</v>
      </c>
      <c r="D114">
        <v>-88.986099999999993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12</v>
      </c>
      <c r="BB114">
        <v>25</v>
      </c>
    </row>
    <row r="115" spans="1:54" hidden="1" x14ac:dyDescent="0.3">
      <c r="A115" t="s">
        <v>119</v>
      </c>
      <c r="B115" t="s">
        <v>107</v>
      </c>
      <c r="C115">
        <v>40.590800000000002</v>
      </c>
      <c r="D115">
        <v>-77.209800000000001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12</v>
      </c>
      <c r="BB115">
        <v>16</v>
      </c>
    </row>
    <row r="116" spans="1:54" hidden="1" x14ac:dyDescent="0.3">
      <c r="A116" t="s">
        <v>120</v>
      </c>
      <c r="B116" t="s">
        <v>107</v>
      </c>
      <c r="C116">
        <v>42.011499999999998</v>
      </c>
      <c r="D116">
        <v>-93.210499999999996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8</v>
      </c>
      <c r="BB116">
        <v>13</v>
      </c>
    </row>
    <row r="117" spans="1:54" hidden="1" x14ac:dyDescent="0.3">
      <c r="A117" t="s">
        <v>121</v>
      </c>
      <c r="B117" t="s">
        <v>107</v>
      </c>
      <c r="C117">
        <v>39.063899999999997</v>
      </c>
      <c r="D117">
        <v>-76.802099999999996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8</v>
      </c>
      <c r="BB117">
        <v>9</v>
      </c>
    </row>
    <row r="118" spans="1:54" hidden="1" x14ac:dyDescent="0.3">
      <c r="A118" t="s">
        <v>122</v>
      </c>
      <c r="B118" t="s">
        <v>107</v>
      </c>
      <c r="C118">
        <v>35.630099999999999</v>
      </c>
      <c r="D118">
        <v>-79.806399999999996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7</v>
      </c>
      <c r="BB118">
        <v>7</v>
      </c>
    </row>
    <row r="119" spans="1:54" hidden="1" x14ac:dyDescent="0.3">
      <c r="A119" t="s">
        <v>123</v>
      </c>
      <c r="B119" t="s">
        <v>107</v>
      </c>
      <c r="C119">
        <v>33.856900000000003</v>
      </c>
      <c r="D119">
        <v>-80.944999999999993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7</v>
      </c>
      <c r="BB119">
        <v>10</v>
      </c>
    </row>
    <row r="120" spans="1:54" hidden="1" x14ac:dyDescent="0.3">
      <c r="A120" t="s">
        <v>124</v>
      </c>
      <c r="B120" t="s">
        <v>107</v>
      </c>
      <c r="C120">
        <v>35.747799999999998</v>
      </c>
      <c r="D120">
        <v>-86.692300000000003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7</v>
      </c>
      <c r="BB120">
        <v>9</v>
      </c>
    </row>
    <row r="121" spans="1:54" x14ac:dyDescent="0.3">
      <c r="A121" t="s">
        <v>125</v>
      </c>
      <c r="B121" t="s">
        <v>107</v>
      </c>
      <c r="C121">
        <v>37.769300000000001</v>
      </c>
      <c r="D121">
        <v>-78.17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7</v>
      </c>
      <c r="BB121">
        <v>9</v>
      </c>
    </row>
    <row r="122" spans="1:54" hidden="1" x14ac:dyDescent="0.3">
      <c r="A122" t="s">
        <v>126</v>
      </c>
      <c r="B122" t="s">
        <v>107</v>
      </c>
      <c r="C122">
        <v>33.729799999999997</v>
      </c>
      <c r="D122">
        <v>-111.4312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6</v>
      </c>
      <c r="BB122">
        <v>9</v>
      </c>
    </row>
    <row r="123" spans="1:54" hidden="1" x14ac:dyDescent="0.3">
      <c r="A123" t="s">
        <v>127</v>
      </c>
      <c r="B123" t="s">
        <v>107</v>
      </c>
      <c r="C123">
        <v>39.849400000000003</v>
      </c>
      <c r="D123">
        <v>-86.258300000000006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6</v>
      </c>
      <c r="BB123">
        <v>11</v>
      </c>
    </row>
    <row r="124" spans="1:54" hidden="1" x14ac:dyDescent="0.3">
      <c r="A124" t="s">
        <v>128</v>
      </c>
      <c r="B124" t="s">
        <v>107</v>
      </c>
      <c r="C124">
        <v>37.668100000000003</v>
      </c>
      <c r="D124">
        <v>-84.670100000000005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6</v>
      </c>
      <c r="BB124">
        <v>8</v>
      </c>
    </row>
    <row r="125" spans="1:54" hidden="1" x14ac:dyDescent="0.3">
      <c r="A125" t="s">
        <v>129</v>
      </c>
      <c r="B125" t="s">
        <v>107</v>
      </c>
      <c r="C125">
        <v>38.897399999999998</v>
      </c>
      <c r="D125">
        <v>-77.026799999999994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5</v>
      </c>
      <c r="BB125">
        <v>10</v>
      </c>
    </row>
    <row r="126" spans="1:54" hidden="1" x14ac:dyDescent="0.3">
      <c r="A126" t="s">
        <v>130</v>
      </c>
      <c r="B126" t="s">
        <v>107</v>
      </c>
      <c r="C126">
        <v>38.313499999999998</v>
      </c>
      <c r="D126">
        <v>-117.05540000000001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4</v>
      </c>
      <c r="BB126">
        <v>7</v>
      </c>
    </row>
    <row r="127" spans="1:54" hidden="1" x14ac:dyDescent="0.3">
      <c r="A127" t="s">
        <v>131</v>
      </c>
      <c r="B127" t="s">
        <v>107</v>
      </c>
      <c r="C127">
        <v>43.452500000000001</v>
      </c>
      <c r="D127">
        <v>-71.563900000000004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4</v>
      </c>
      <c r="BB127">
        <v>5</v>
      </c>
    </row>
    <row r="128" spans="1:54" hidden="1" x14ac:dyDescent="0.3">
      <c r="A128" t="s">
        <v>132</v>
      </c>
      <c r="B128" t="s">
        <v>107</v>
      </c>
      <c r="C128">
        <v>45.694499999999998</v>
      </c>
      <c r="D128">
        <v>-93.900199999999998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3</v>
      </c>
      <c r="BB128">
        <v>5</v>
      </c>
    </row>
    <row r="129" spans="1:54" hidden="1" x14ac:dyDescent="0.3">
      <c r="A129" t="s">
        <v>133</v>
      </c>
      <c r="B129" t="s">
        <v>107</v>
      </c>
      <c r="C129">
        <v>41.125399999999999</v>
      </c>
      <c r="D129">
        <v>-98.268100000000004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3</v>
      </c>
      <c r="BB129">
        <v>5</v>
      </c>
    </row>
    <row r="130" spans="1:54" hidden="1" x14ac:dyDescent="0.3">
      <c r="A130" t="s">
        <v>134</v>
      </c>
      <c r="B130" t="s">
        <v>107</v>
      </c>
      <c r="C130">
        <v>40.388800000000003</v>
      </c>
      <c r="D130">
        <v>-82.764899999999997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3</v>
      </c>
      <c r="BB130">
        <v>4</v>
      </c>
    </row>
    <row r="131" spans="1:54" hidden="1" x14ac:dyDescent="0.3">
      <c r="A131" t="s">
        <v>135</v>
      </c>
      <c r="B131" t="s">
        <v>107</v>
      </c>
      <c r="C131">
        <v>41.680900000000001</v>
      </c>
      <c r="D131">
        <v>-71.511799999999994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3</v>
      </c>
      <c r="BB131">
        <v>5</v>
      </c>
    </row>
    <row r="132" spans="1:54" hidden="1" x14ac:dyDescent="0.3">
      <c r="A132" t="s">
        <v>136</v>
      </c>
      <c r="B132" t="s">
        <v>107</v>
      </c>
      <c r="C132">
        <v>44.268500000000003</v>
      </c>
      <c r="D132">
        <v>-89.616500000000002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3</v>
      </c>
      <c r="BB132">
        <v>6</v>
      </c>
    </row>
    <row r="133" spans="1:54" hidden="1" x14ac:dyDescent="0.3">
      <c r="A133" t="s">
        <v>137</v>
      </c>
      <c r="B133" t="s">
        <v>107</v>
      </c>
      <c r="C133">
        <v>41.597799999999999</v>
      </c>
      <c r="D133">
        <v>-72.755399999999995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2</v>
      </c>
      <c r="BB133">
        <v>3</v>
      </c>
    </row>
    <row r="134" spans="1:54" hidden="1" x14ac:dyDescent="0.3">
      <c r="A134" t="s">
        <v>138</v>
      </c>
      <c r="B134" t="s">
        <v>107</v>
      </c>
      <c r="C134">
        <v>21.0943</v>
      </c>
      <c r="D134">
        <v>-157.4983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2</v>
      </c>
      <c r="BB134">
        <v>2</v>
      </c>
    </row>
    <row r="135" spans="1:54" hidden="1" x14ac:dyDescent="0.3">
      <c r="A135" t="s">
        <v>139</v>
      </c>
      <c r="B135" t="s">
        <v>107</v>
      </c>
      <c r="C135">
        <v>35.565300000000001</v>
      </c>
      <c r="D135">
        <v>-96.928899999999999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2</v>
      </c>
      <c r="BB135">
        <v>2</v>
      </c>
    </row>
    <row r="136" spans="1:54" hidden="1" x14ac:dyDescent="0.3">
      <c r="A136" t="s">
        <v>140</v>
      </c>
      <c r="B136" t="s">
        <v>107</v>
      </c>
      <c r="C136">
        <v>40.15</v>
      </c>
      <c r="D136">
        <v>-111.86239999999999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2</v>
      </c>
      <c r="BB136">
        <v>3</v>
      </c>
    </row>
    <row r="137" spans="1:54" hidden="1" x14ac:dyDescent="0.3">
      <c r="B137" t="s">
        <v>141</v>
      </c>
      <c r="C137">
        <v>12.238300000000001</v>
      </c>
      <c r="D137">
        <v>-1.5616000000000001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1</v>
      </c>
      <c r="BB137">
        <v>2</v>
      </c>
    </row>
    <row r="138" spans="1:54" hidden="1" x14ac:dyDescent="0.3">
      <c r="B138" t="s">
        <v>142</v>
      </c>
      <c r="C138">
        <v>41.902900000000002</v>
      </c>
      <c r="D138">
        <v>12.4534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1</v>
      </c>
      <c r="AX138">
        <v>1</v>
      </c>
      <c r="AY138">
        <v>1</v>
      </c>
      <c r="AZ138">
        <v>1</v>
      </c>
      <c r="BA138">
        <v>1</v>
      </c>
      <c r="BB138">
        <v>1</v>
      </c>
    </row>
    <row r="139" spans="1:54" hidden="1" x14ac:dyDescent="0.3">
      <c r="B139" t="s">
        <v>143</v>
      </c>
      <c r="C139">
        <v>46.862499999999997</v>
      </c>
      <c r="D139">
        <v>103.8467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1</v>
      </c>
      <c r="BB139">
        <v>1</v>
      </c>
    </row>
    <row r="140" spans="1:54" hidden="1" x14ac:dyDescent="0.3">
      <c r="B140" t="s">
        <v>144</v>
      </c>
      <c r="C140">
        <v>8.5380000000000003</v>
      </c>
      <c r="D140">
        <v>-80.7821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1</v>
      </c>
      <c r="BB140">
        <v>8</v>
      </c>
    </row>
    <row r="141" spans="1:54" hidden="1" x14ac:dyDescent="0.3">
      <c r="A141" t="s">
        <v>145</v>
      </c>
      <c r="B141" t="s">
        <v>107</v>
      </c>
      <c r="C141">
        <v>38.526600000000002</v>
      </c>
      <c r="D141">
        <v>-96.726500000000001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1</v>
      </c>
      <c r="BB141">
        <v>1</v>
      </c>
    </row>
    <row r="142" spans="1:54" hidden="1" x14ac:dyDescent="0.3">
      <c r="A142" t="s">
        <v>146</v>
      </c>
      <c r="B142" t="s">
        <v>107</v>
      </c>
      <c r="C142">
        <v>31.169499999999999</v>
      </c>
      <c r="D142">
        <v>-91.867800000000003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1</v>
      </c>
      <c r="BB142">
        <v>6</v>
      </c>
    </row>
    <row r="143" spans="1:54" hidden="1" x14ac:dyDescent="0.3">
      <c r="A143" t="s">
        <v>147</v>
      </c>
      <c r="B143" t="s">
        <v>107</v>
      </c>
      <c r="C143">
        <v>38.456099999999999</v>
      </c>
      <c r="D143">
        <v>-92.288399999999996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1</v>
      </c>
      <c r="BB143">
        <v>1</v>
      </c>
    </row>
    <row r="144" spans="1:54" hidden="1" x14ac:dyDescent="0.3">
      <c r="A144" t="s">
        <v>148</v>
      </c>
      <c r="B144" t="s">
        <v>107</v>
      </c>
      <c r="C144">
        <v>44.045900000000003</v>
      </c>
      <c r="D144">
        <v>-72.710700000000003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1</v>
      </c>
      <c r="BB144">
        <v>1</v>
      </c>
    </row>
    <row r="145" spans="1:54" hidden="1" x14ac:dyDescent="0.3">
      <c r="A145" t="s">
        <v>149</v>
      </c>
      <c r="B145" t="s">
        <v>107</v>
      </c>
      <c r="C145">
        <v>61.370699999999999</v>
      </c>
      <c r="D145">
        <v>-152.40440000000001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</row>
    <row r="146" spans="1:54" hidden="1" x14ac:dyDescent="0.3">
      <c r="A146" t="s">
        <v>150</v>
      </c>
      <c r="B146" t="s">
        <v>107</v>
      </c>
      <c r="C146">
        <v>34.969700000000003</v>
      </c>
      <c r="D146">
        <v>-92.373099999999994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1</v>
      </c>
    </row>
    <row r="147" spans="1:54" hidden="1" x14ac:dyDescent="0.3">
      <c r="A147" t="s">
        <v>151</v>
      </c>
      <c r="B147" t="s">
        <v>107</v>
      </c>
      <c r="C147">
        <v>39.3185</v>
      </c>
      <c r="D147">
        <v>-75.507099999999994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1</v>
      </c>
    </row>
    <row r="148" spans="1:54" hidden="1" x14ac:dyDescent="0.3">
      <c r="A148" t="s">
        <v>152</v>
      </c>
      <c r="B148" t="s">
        <v>107</v>
      </c>
      <c r="C148">
        <v>44.240499999999997</v>
      </c>
      <c r="D148">
        <v>-114.47880000000001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</row>
    <row r="149" spans="1:54" hidden="1" x14ac:dyDescent="0.3">
      <c r="A149" t="s">
        <v>153</v>
      </c>
      <c r="B149" t="s">
        <v>107</v>
      </c>
      <c r="C149">
        <v>44.693899999999999</v>
      </c>
      <c r="D149">
        <v>-69.381900000000002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</row>
    <row r="150" spans="1:54" hidden="1" x14ac:dyDescent="0.3">
      <c r="A150" t="s">
        <v>154</v>
      </c>
      <c r="B150" t="s">
        <v>107</v>
      </c>
      <c r="C150">
        <v>43.326599999999999</v>
      </c>
      <c r="D150">
        <v>-84.536100000000005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2</v>
      </c>
    </row>
    <row r="151" spans="1:54" hidden="1" x14ac:dyDescent="0.3">
      <c r="A151" t="s">
        <v>155</v>
      </c>
      <c r="B151" t="s">
        <v>107</v>
      </c>
      <c r="C151">
        <v>32.741599999999998</v>
      </c>
      <c r="D151">
        <v>-89.678700000000006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</row>
    <row r="152" spans="1:54" hidden="1" x14ac:dyDescent="0.3">
      <c r="A152" t="s">
        <v>156</v>
      </c>
      <c r="B152" t="s">
        <v>107</v>
      </c>
      <c r="C152">
        <v>46.921900000000001</v>
      </c>
      <c r="D152">
        <v>-110.45440000000001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1</v>
      </c>
    </row>
    <row r="153" spans="1:54" hidden="1" x14ac:dyDescent="0.3">
      <c r="A153" t="s">
        <v>157</v>
      </c>
      <c r="B153" t="s">
        <v>107</v>
      </c>
      <c r="C153">
        <v>34.840499999999999</v>
      </c>
      <c r="D153">
        <v>-106.24850000000001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3</v>
      </c>
    </row>
    <row r="154" spans="1:54" hidden="1" x14ac:dyDescent="0.3">
      <c r="A154" t="s">
        <v>158</v>
      </c>
      <c r="B154" t="s">
        <v>107</v>
      </c>
      <c r="C154">
        <v>47.5289</v>
      </c>
      <c r="D154">
        <v>-99.784000000000006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</row>
    <row r="155" spans="1:54" hidden="1" x14ac:dyDescent="0.3">
      <c r="A155" t="s">
        <v>159</v>
      </c>
      <c r="B155" t="s">
        <v>107</v>
      </c>
      <c r="C155">
        <v>44.299799999999998</v>
      </c>
      <c r="D155">
        <v>-99.438800000000001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8</v>
      </c>
    </row>
    <row r="156" spans="1:54" hidden="1" x14ac:dyDescent="0.3">
      <c r="A156" t="s">
        <v>160</v>
      </c>
      <c r="B156" t="s">
        <v>107</v>
      </c>
      <c r="C156">
        <v>38.491199999999999</v>
      </c>
      <c r="D156">
        <v>-80.954499999999996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</row>
    <row r="157" spans="1:54" hidden="1" x14ac:dyDescent="0.3">
      <c r="A157" t="s">
        <v>161</v>
      </c>
      <c r="B157" t="s">
        <v>107</v>
      </c>
      <c r="C157">
        <v>42.756</v>
      </c>
      <c r="D157">
        <v>-107.30249999999999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</row>
    <row r="158" spans="1:54" hidden="1" x14ac:dyDescent="0.3">
      <c r="A158" t="s">
        <v>162</v>
      </c>
      <c r="B158" t="s">
        <v>163</v>
      </c>
      <c r="C158">
        <v>30.9756</v>
      </c>
      <c r="D158">
        <v>112.27070000000001</v>
      </c>
      <c r="E158">
        <v>444</v>
      </c>
      <c r="F158">
        <v>444</v>
      </c>
      <c r="G158">
        <v>549</v>
      </c>
      <c r="H158">
        <v>761</v>
      </c>
      <c r="I158">
        <v>1058</v>
      </c>
      <c r="J158">
        <v>1423</v>
      </c>
      <c r="K158">
        <v>3554</v>
      </c>
      <c r="L158">
        <v>3554</v>
      </c>
      <c r="M158">
        <v>4903</v>
      </c>
      <c r="N158">
        <v>5806</v>
      </c>
      <c r="O158">
        <v>7153</v>
      </c>
      <c r="P158">
        <v>11177</v>
      </c>
      <c r="Q158">
        <v>13522</v>
      </c>
      <c r="R158">
        <v>16678</v>
      </c>
      <c r="S158">
        <v>19665</v>
      </c>
      <c r="T158">
        <v>22112</v>
      </c>
      <c r="U158">
        <v>24953</v>
      </c>
      <c r="V158">
        <v>27100</v>
      </c>
      <c r="W158">
        <v>29631</v>
      </c>
      <c r="X158">
        <v>31728</v>
      </c>
      <c r="Y158">
        <v>33366</v>
      </c>
      <c r="Z158">
        <v>33366</v>
      </c>
      <c r="AA158">
        <v>48206</v>
      </c>
      <c r="AB158">
        <v>54406</v>
      </c>
      <c r="AC158">
        <v>56249</v>
      </c>
      <c r="AD158">
        <v>58182</v>
      </c>
      <c r="AE158">
        <v>59989</v>
      </c>
      <c r="AF158">
        <v>61682</v>
      </c>
      <c r="AG158">
        <v>62031</v>
      </c>
      <c r="AH158">
        <v>62442</v>
      </c>
      <c r="AI158">
        <v>62662</v>
      </c>
      <c r="AJ158">
        <v>64084</v>
      </c>
      <c r="AK158">
        <v>64084</v>
      </c>
      <c r="AL158">
        <v>64287</v>
      </c>
      <c r="AM158">
        <v>64786</v>
      </c>
      <c r="AN158">
        <v>65187</v>
      </c>
      <c r="AO158">
        <v>65596</v>
      </c>
      <c r="AP158">
        <v>65914</v>
      </c>
      <c r="AQ158">
        <v>66337</v>
      </c>
      <c r="AR158">
        <v>66907</v>
      </c>
      <c r="AS158">
        <v>67103</v>
      </c>
      <c r="AT158">
        <v>67217</v>
      </c>
      <c r="AU158">
        <v>67332</v>
      </c>
      <c r="AV158">
        <v>67466</v>
      </c>
      <c r="AW158">
        <v>67592</v>
      </c>
      <c r="AX158">
        <v>67666</v>
      </c>
      <c r="AY158">
        <v>67707</v>
      </c>
      <c r="AZ158">
        <v>67743</v>
      </c>
      <c r="BA158">
        <v>67760</v>
      </c>
      <c r="BB158">
        <v>67773</v>
      </c>
    </row>
    <row r="159" spans="1:54" hidden="1" x14ac:dyDescent="0.3">
      <c r="B159" t="s">
        <v>164</v>
      </c>
      <c r="C159">
        <v>32</v>
      </c>
      <c r="D159">
        <v>53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2</v>
      </c>
      <c r="AH159">
        <v>5</v>
      </c>
      <c r="AI159">
        <v>18</v>
      </c>
      <c r="AJ159">
        <v>28</v>
      </c>
      <c r="AK159">
        <v>43</v>
      </c>
      <c r="AL159">
        <v>61</v>
      </c>
      <c r="AM159">
        <v>95</v>
      </c>
      <c r="AN159">
        <v>139</v>
      </c>
      <c r="AO159">
        <v>245</v>
      </c>
      <c r="AP159">
        <v>388</v>
      </c>
      <c r="AQ159">
        <v>593</v>
      </c>
      <c r="AR159">
        <v>978</v>
      </c>
      <c r="AS159">
        <v>1501</v>
      </c>
      <c r="AT159">
        <v>2336</v>
      </c>
      <c r="AU159">
        <v>2922</v>
      </c>
      <c r="AV159">
        <v>3513</v>
      </c>
      <c r="AW159">
        <v>4747</v>
      </c>
      <c r="AX159">
        <v>5823</v>
      </c>
      <c r="AY159">
        <v>6566</v>
      </c>
      <c r="AZ159">
        <v>7161</v>
      </c>
      <c r="BA159">
        <v>8042</v>
      </c>
      <c r="BB159">
        <v>9000</v>
      </c>
    </row>
    <row r="160" spans="1:54" hidden="1" x14ac:dyDescent="0.3">
      <c r="B160" t="s">
        <v>165</v>
      </c>
      <c r="C160">
        <v>36</v>
      </c>
      <c r="D160">
        <v>128</v>
      </c>
      <c r="E160">
        <v>1</v>
      </c>
      <c r="F160">
        <v>1</v>
      </c>
      <c r="G160">
        <v>2</v>
      </c>
      <c r="H160">
        <v>2</v>
      </c>
      <c r="I160">
        <v>3</v>
      </c>
      <c r="J160">
        <v>4</v>
      </c>
      <c r="K160">
        <v>4</v>
      </c>
      <c r="L160">
        <v>4</v>
      </c>
      <c r="M160">
        <v>4</v>
      </c>
      <c r="N160">
        <v>11</v>
      </c>
      <c r="O160">
        <v>12</v>
      </c>
      <c r="P160">
        <v>15</v>
      </c>
      <c r="Q160">
        <v>15</v>
      </c>
      <c r="R160">
        <v>16</v>
      </c>
      <c r="S160">
        <v>19</v>
      </c>
      <c r="T160">
        <v>23</v>
      </c>
      <c r="U160">
        <v>24</v>
      </c>
      <c r="V160">
        <v>24</v>
      </c>
      <c r="W160">
        <v>25</v>
      </c>
      <c r="X160">
        <v>27</v>
      </c>
      <c r="Y160">
        <v>28</v>
      </c>
      <c r="Z160">
        <v>28</v>
      </c>
      <c r="AA160">
        <v>28</v>
      </c>
      <c r="AB160">
        <v>28</v>
      </c>
      <c r="AC160">
        <v>28</v>
      </c>
      <c r="AD160">
        <v>29</v>
      </c>
      <c r="AE160">
        <v>30</v>
      </c>
      <c r="AF160">
        <v>31</v>
      </c>
      <c r="AG160">
        <v>31</v>
      </c>
      <c r="AH160">
        <v>104</v>
      </c>
      <c r="AI160">
        <v>204</v>
      </c>
      <c r="AJ160">
        <v>433</v>
      </c>
      <c r="AK160">
        <v>602</v>
      </c>
      <c r="AL160">
        <v>833</v>
      </c>
      <c r="AM160">
        <v>977</v>
      </c>
      <c r="AN160">
        <v>1261</v>
      </c>
      <c r="AO160">
        <v>1766</v>
      </c>
      <c r="AP160">
        <v>2337</v>
      </c>
      <c r="AQ160">
        <v>3150</v>
      </c>
      <c r="AR160">
        <v>3736</v>
      </c>
      <c r="AS160">
        <v>4335</v>
      </c>
      <c r="AT160">
        <v>5186</v>
      </c>
      <c r="AU160">
        <v>5621</v>
      </c>
      <c r="AV160">
        <v>6088</v>
      </c>
      <c r="AW160">
        <v>6593</v>
      </c>
      <c r="AX160">
        <v>7041</v>
      </c>
      <c r="AY160">
        <v>7314</v>
      </c>
      <c r="AZ160">
        <v>7478</v>
      </c>
      <c r="BA160">
        <v>7513</v>
      </c>
      <c r="BB160">
        <v>7755</v>
      </c>
    </row>
    <row r="161" spans="1:54" hidden="1" x14ac:dyDescent="0.3">
      <c r="A161" t="s">
        <v>166</v>
      </c>
      <c r="B161" t="s">
        <v>166</v>
      </c>
      <c r="C161">
        <v>46.227600000000002</v>
      </c>
      <c r="D161">
        <v>2.2136999999999998</v>
      </c>
      <c r="E161">
        <v>0</v>
      </c>
      <c r="F161">
        <v>0</v>
      </c>
      <c r="G161">
        <v>2</v>
      </c>
      <c r="H161">
        <v>3</v>
      </c>
      <c r="I161">
        <v>3</v>
      </c>
      <c r="J161">
        <v>3</v>
      </c>
      <c r="K161">
        <v>4</v>
      </c>
      <c r="L161">
        <v>5</v>
      </c>
      <c r="M161">
        <v>5</v>
      </c>
      <c r="N161">
        <v>5</v>
      </c>
      <c r="O161">
        <v>6</v>
      </c>
      <c r="P161">
        <v>6</v>
      </c>
      <c r="Q161">
        <v>6</v>
      </c>
      <c r="R161">
        <v>6</v>
      </c>
      <c r="S161">
        <v>6</v>
      </c>
      <c r="T161">
        <v>6</v>
      </c>
      <c r="U161">
        <v>6</v>
      </c>
      <c r="V161">
        <v>11</v>
      </c>
      <c r="W161">
        <v>11</v>
      </c>
      <c r="X161">
        <v>11</v>
      </c>
      <c r="Y161">
        <v>11</v>
      </c>
      <c r="Z161">
        <v>11</v>
      </c>
      <c r="AA161">
        <v>11</v>
      </c>
      <c r="AB161">
        <v>11</v>
      </c>
      <c r="AC161">
        <v>12</v>
      </c>
      <c r="AD161">
        <v>12</v>
      </c>
      <c r="AE161">
        <v>12</v>
      </c>
      <c r="AF161">
        <v>12</v>
      </c>
      <c r="AG161">
        <v>12</v>
      </c>
      <c r="AH161">
        <v>12</v>
      </c>
      <c r="AI161">
        <v>12</v>
      </c>
      <c r="AJ161">
        <v>12</v>
      </c>
      <c r="AK161">
        <v>12</v>
      </c>
      <c r="AL161">
        <v>12</v>
      </c>
      <c r="AM161">
        <v>14</v>
      </c>
      <c r="AN161">
        <v>18</v>
      </c>
      <c r="AO161">
        <v>38</v>
      </c>
      <c r="AP161">
        <v>57</v>
      </c>
      <c r="AQ161">
        <v>100</v>
      </c>
      <c r="AR161">
        <v>130</v>
      </c>
      <c r="AS161">
        <v>191</v>
      </c>
      <c r="AT161">
        <v>204</v>
      </c>
      <c r="AU161">
        <v>285</v>
      </c>
      <c r="AV161">
        <v>377</v>
      </c>
      <c r="AW161">
        <v>653</v>
      </c>
      <c r="AX161">
        <v>949</v>
      </c>
      <c r="AY161">
        <v>1126</v>
      </c>
      <c r="AZ161">
        <v>1209</v>
      </c>
      <c r="BA161">
        <v>1784</v>
      </c>
      <c r="BB161">
        <v>2281</v>
      </c>
    </row>
    <row r="162" spans="1:54" hidden="1" x14ac:dyDescent="0.3">
      <c r="A162" t="s">
        <v>167</v>
      </c>
      <c r="B162" t="s">
        <v>163</v>
      </c>
      <c r="C162">
        <v>23.341699999999999</v>
      </c>
      <c r="D162">
        <v>113.42440000000001</v>
      </c>
      <c r="E162">
        <v>26</v>
      </c>
      <c r="F162">
        <v>32</v>
      </c>
      <c r="G162">
        <v>53</v>
      </c>
      <c r="H162">
        <v>78</v>
      </c>
      <c r="I162">
        <v>111</v>
      </c>
      <c r="J162">
        <v>151</v>
      </c>
      <c r="K162">
        <v>207</v>
      </c>
      <c r="L162">
        <v>277</v>
      </c>
      <c r="M162">
        <v>354</v>
      </c>
      <c r="N162">
        <v>436</v>
      </c>
      <c r="O162">
        <v>535</v>
      </c>
      <c r="P162">
        <v>632</v>
      </c>
      <c r="Q162">
        <v>725</v>
      </c>
      <c r="R162">
        <v>813</v>
      </c>
      <c r="S162">
        <v>895</v>
      </c>
      <c r="T162">
        <v>970</v>
      </c>
      <c r="U162">
        <v>1034</v>
      </c>
      <c r="V162">
        <v>1095</v>
      </c>
      <c r="W162">
        <v>1131</v>
      </c>
      <c r="X162">
        <v>1159</v>
      </c>
      <c r="Y162">
        <v>1177</v>
      </c>
      <c r="Z162">
        <v>1219</v>
      </c>
      <c r="AA162">
        <v>1241</v>
      </c>
      <c r="AB162">
        <v>1261</v>
      </c>
      <c r="AC162">
        <v>1294</v>
      </c>
      <c r="AD162">
        <v>1316</v>
      </c>
      <c r="AE162">
        <v>1322</v>
      </c>
      <c r="AF162">
        <v>1328</v>
      </c>
      <c r="AG162">
        <v>1331</v>
      </c>
      <c r="AH162">
        <v>1332</v>
      </c>
      <c r="AI162">
        <v>1333</v>
      </c>
      <c r="AJ162">
        <v>1339</v>
      </c>
      <c r="AK162">
        <v>1342</v>
      </c>
      <c r="AL162">
        <v>1345</v>
      </c>
      <c r="AM162">
        <v>1347</v>
      </c>
      <c r="AN162">
        <v>1347</v>
      </c>
      <c r="AO162">
        <v>1347</v>
      </c>
      <c r="AP162">
        <v>1348</v>
      </c>
      <c r="AQ162">
        <v>1349</v>
      </c>
      <c r="AR162">
        <v>1349</v>
      </c>
      <c r="AS162">
        <v>1350</v>
      </c>
      <c r="AT162">
        <v>1350</v>
      </c>
      <c r="AU162">
        <v>1350</v>
      </c>
      <c r="AV162">
        <v>1351</v>
      </c>
      <c r="AW162">
        <v>1352</v>
      </c>
      <c r="AX162">
        <v>1352</v>
      </c>
      <c r="AY162">
        <v>1352</v>
      </c>
      <c r="AZ162">
        <v>1352</v>
      </c>
      <c r="BA162">
        <v>1353</v>
      </c>
      <c r="BB162">
        <v>1356</v>
      </c>
    </row>
    <row r="163" spans="1:54" hidden="1" x14ac:dyDescent="0.3">
      <c r="A163" t="s">
        <v>168</v>
      </c>
      <c r="B163" t="s">
        <v>163</v>
      </c>
      <c r="C163">
        <v>33.881999999999998</v>
      </c>
      <c r="D163">
        <v>113.614</v>
      </c>
      <c r="E163">
        <v>5</v>
      </c>
      <c r="F163">
        <v>5</v>
      </c>
      <c r="G163">
        <v>9</v>
      </c>
      <c r="H163">
        <v>32</v>
      </c>
      <c r="I163">
        <v>83</v>
      </c>
      <c r="J163">
        <v>128</v>
      </c>
      <c r="K163">
        <v>168</v>
      </c>
      <c r="L163">
        <v>206</v>
      </c>
      <c r="M163">
        <v>278</v>
      </c>
      <c r="N163">
        <v>352</v>
      </c>
      <c r="O163">
        <v>422</v>
      </c>
      <c r="P163">
        <v>493</v>
      </c>
      <c r="Q163">
        <v>566</v>
      </c>
      <c r="R163">
        <v>675</v>
      </c>
      <c r="S163">
        <v>764</v>
      </c>
      <c r="T163">
        <v>851</v>
      </c>
      <c r="U163">
        <v>914</v>
      </c>
      <c r="V163">
        <v>981</v>
      </c>
      <c r="W163">
        <v>1033</v>
      </c>
      <c r="X163">
        <v>1073</v>
      </c>
      <c r="Y163">
        <v>1105</v>
      </c>
      <c r="Z163">
        <v>1135</v>
      </c>
      <c r="AA163">
        <v>1169</v>
      </c>
      <c r="AB163">
        <v>1184</v>
      </c>
      <c r="AC163">
        <v>1212</v>
      </c>
      <c r="AD163">
        <v>1231</v>
      </c>
      <c r="AE163">
        <v>1246</v>
      </c>
      <c r="AF163">
        <v>1257</v>
      </c>
      <c r="AG163">
        <v>1262</v>
      </c>
      <c r="AH163">
        <v>1265</v>
      </c>
      <c r="AI163">
        <v>1267</v>
      </c>
      <c r="AJ163">
        <v>1270</v>
      </c>
      <c r="AK163">
        <v>1271</v>
      </c>
      <c r="AL163">
        <v>1271</v>
      </c>
      <c r="AM163">
        <v>1271</v>
      </c>
      <c r="AN163">
        <v>1271</v>
      </c>
      <c r="AO163">
        <v>1272</v>
      </c>
      <c r="AP163">
        <v>1272</v>
      </c>
      <c r="AQ163">
        <v>1272</v>
      </c>
      <c r="AR163">
        <v>1272</v>
      </c>
      <c r="AS163">
        <v>1272</v>
      </c>
      <c r="AT163">
        <v>1272</v>
      </c>
      <c r="AU163">
        <v>1272</v>
      </c>
      <c r="AV163">
        <v>1272</v>
      </c>
      <c r="AW163">
        <v>1272</v>
      </c>
      <c r="AX163">
        <v>1272</v>
      </c>
      <c r="AY163">
        <v>1272</v>
      </c>
      <c r="AZ163">
        <v>1272</v>
      </c>
      <c r="BA163">
        <v>1272</v>
      </c>
      <c r="BB163">
        <v>1273</v>
      </c>
    </row>
    <row r="164" spans="1:54" hidden="1" x14ac:dyDescent="0.3">
      <c r="A164" t="s">
        <v>169</v>
      </c>
      <c r="B164" t="s">
        <v>163</v>
      </c>
      <c r="C164">
        <v>29.183199999999999</v>
      </c>
      <c r="D164">
        <v>120.0934</v>
      </c>
      <c r="E164">
        <v>10</v>
      </c>
      <c r="F164">
        <v>27</v>
      </c>
      <c r="G164">
        <v>43</v>
      </c>
      <c r="H164">
        <v>62</v>
      </c>
      <c r="I164">
        <v>104</v>
      </c>
      <c r="J164">
        <v>128</v>
      </c>
      <c r="K164">
        <v>173</v>
      </c>
      <c r="L164">
        <v>296</v>
      </c>
      <c r="M164">
        <v>428</v>
      </c>
      <c r="N164">
        <v>538</v>
      </c>
      <c r="O164">
        <v>599</v>
      </c>
      <c r="P164">
        <v>661</v>
      </c>
      <c r="Q164">
        <v>724</v>
      </c>
      <c r="R164">
        <v>829</v>
      </c>
      <c r="S164">
        <v>895</v>
      </c>
      <c r="T164">
        <v>954</v>
      </c>
      <c r="U164">
        <v>1006</v>
      </c>
      <c r="V164">
        <v>1048</v>
      </c>
      <c r="W164">
        <v>1075</v>
      </c>
      <c r="X164">
        <v>1092</v>
      </c>
      <c r="Y164">
        <v>1117</v>
      </c>
      <c r="Z164">
        <v>1131</v>
      </c>
      <c r="AA164">
        <v>1145</v>
      </c>
      <c r="AB164">
        <v>1155</v>
      </c>
      <c r="AC164">
        <v>1162</v>
      </c>
      <c r="AD164">
        <v>1167</v>
      </c>
      <c r="AE164">
        <v>1171</v>
      </c>
      <c r="AF164">
        <v>1172</v>
      </c>
      <c r="AG164">
        <v>1174</v>
      </c>
      <c r="AH164">
        <v>1175</v>
      </c>
      <c r="AI164">
        <v>1203</v>
      </c>
      <c r="AJ164">
        <v>1205</v>
      </c>
      <c r="AK164">
        <v>1205</v>
      </c>
      <c r="AL164">
        <v>1205</v>
      </c>
      <c r="AM164">
        <v>1205</v>
      </c>
      <c r="AN164">
        <v>1205</v>
      </c>
      <c r="AO164">
        <v>1205</v>
      </c>
      <c r="AP164">
        <v>1205</v>
      </c>
      <c r="AQ164">
        <v>1205</v>
      </c>
      <c r="AR164">
        <v>1205</v>
      </c>
      <c r="AS164">
        <v>1206</v>
      </c>
      <c r="AT164">
        <v>1213</v>
      </c>
      <c r="AU164">
        <v>1213</v>
      </c>
      <c r="AV164">
        <v>1215</v>
      </c>
      <c r="AW164">
        <v>1215</v>
      </c>
      <c r="AX164">
        <v>1215</v>
      </c>
      <c r="AY164">
        <v>1215</v>
      </c>
      <c r="AZ164">
        <v>1215</v>
      </c>
      <c r="BA164">
        <v>1215</v>
      </c>
      <c r="BB164">
        <v>1215</v>
      </c>
    </row>
    <row r="165" spans="1:54" hidden="1" x14ac:dyDescent="0.3">
      <c r="A165" t="s">
        <v>170</v>
      </c>
      <c r="B165" t="s">
        <v>163</v>
      </c>
      <c r="C165">
        <v>27.610399999999998</v>
      </c>
      <c r="D165">
        <v>111.7088</v>
      </c>
      <c r="E165">
        <v>4</v>
      </c>
      <c r="F165">
        <v>9</v>
      </c>
      <c r="G165">
        <v>24</v>
      </c>
      <c r="H165">
        <v>43</v>
      </c>
      <c r="I165">
        <v>69</v>
      </c>
      <c r="J165">
        <v>100</v>
      </c>
      <c r="K165">
        <v>143</v>
      </c>
      <c r="L165">
        <v>221</v>
      </c>
      <c r="M165">
        <v>277</v>
      </c>
      <c r="N165">
        <v>332</v>
      </c>
      <c r="O165">
        <v>389</v>
      </c>
      <c r="P165">
        <v>463</v>
      </c>
      <c r="Q165">
        <v>521</v>
      </c>
      <c r="R165">
        <v>593</v>
      </c>
      <c r="S165">
        <v>661</v>
      </c>
      <c r="T165">
        <v>711</v>
      </c>
      <c r="U165">
        <v>772</v>
      </c>
      <c r="V165">
        <v>803</v>
      </c>
      <c r="W165">
        <v>838</v>
      </c>
      <c r="X165">
        <v>879</v>
      </c>
      <c r="Y165">
        <v>912</v>
      </c>
      <c r="Z165">
        <v>946</v>
      </c>
      <c r="AA165">
        <v>968</v>
      </c>
      <c r="AB165">
        <v>988</v>
      </c>
      <c r="AC165">
        <v>1001</v>
      </c>
      <c r="AD165">
        <v>1004</v>
      </c>
      <c r="AE165">
        <v>1006</v>
      </c>
      <c r="AF165">
        <v>1007</v>
      </c>
      <c r="AG165">
        <v>1008</v>
      </c>
      <c r="AH165">
        <v>1010</v>
      </c>
      <c r="AI165">
        <v>1011</v>
      </c>
      <c r="AJ165">
        <v>1013</v>
      </c>
      <c r="AK165">
        <v>1016</v>
      </c>
      <c r="AL165">
        <v>1016</v>
      </c>
      <c r="AM165">
        <v>1016</v>
      </c>
      <c r="AN165">
        <v>1016</v>
      </c>
      <c r="AO165">
        <v>1017</v>
      </c>
      <c r="AP165">
        <v>1017</v>
      </c>
      <c r="AQ165">
        <v>1018</v>
      </c>
      <c r="AR165">
        <v>1018</v>
      </c>
      <c r="AS165">
        <v>1018</v>
      </c>
      <c r="AT165">
        <v>1018</v>
      </c>
      <c r="AU165">
        <v>1018</v>
      </c>
      <c r="AV165">
        <v>1018</v>
      </c>
      <c r="AW165">
        <v>1018</v>
      </c>
      <c r="AX165">
        <v>1018</v>
      </c>
      <c r="AY165">
        <v>1018</v>
      </c>
      <c r="AZ165">
        <v>1018</v>
      </c>
      <c r="BA165">
        <v>1018</v>
      </c>
      <c r="BB165">
        <v>1018</v>
      </c>
    </row>
    <row r="166" spans="1:54" hidden="1" x14ac:dyDescent="0.3">
      <c r="A166" t="s">
        <v>171</v>
      </c>
      <c r="B166" t="s">
        <v>163</v>
      </c>
      <c r="C166">
        <v>31.825700000000001</v>
      </c>
      <c r="D166">
        <v>117.2264</v>
      </c>
      <c r="E166">
        <v>1</v>
      </c>
      <c r="F166">
        <v>9</v>
      </c>
      <c r="G166">
        <v>15</v>
      </c>
      <c r="H166">
        <v>39</v>
      </c>
      <c r="I166">
        <v>60</v>
      </c>
      <c r="J166">
        <v>70</v>
      </c>
      <c r="K166">
        <v>106</v>
      </c>
      <c r="L166">
        <v>152</v>
      </c>
      <c r="M166">
        <v>200</v>
      </c>
      <c r="N166">
        <v>237</v>
      </c>
      <c r="O166">
        <v>297</v>
      </c>
      <c r="P166">
        <v>340</v>
      </c>
      <c r="Q166">
        <v>408</v>
      </c>
      <c r="R166">
        <v>480</v>
      </c>
      <c r="S166">
        <v>530</v>
      </c>
      <c r="T166">
        <v>591</v>
      </c>
      <c r="U166">
        <v>665</v>
      </c>
      <c r="V166">
        <v>733</v>
      </c>
      <c r="W166">
        <v>779</v>
      </c>
      <c r="X166">
        <v>830</v>
      </c>
      <c r="Y166">
        <v>860</v>
      </c>
      <c r="Z166">
        <v>889</v>
      </c>
      <c r="AA166">
        <v>910</v>
      </c>
      <c r="AB166">
        <v>934</v>
      </c>
      <c r="AC166">
        <v>950</v>
      </c>
      <c r="AD166">
        <v>962</v>
      </c>
      <c r="AE166">
        <v>973</v>
      </c>
      <c r="AF166">
        <v>982</v>
      </c>
      <c r="AG166">
        <v>986</v>
      </c>
      <c r="AH166">
        <v>987</v>
      </c>
      <c r="AI166">
        <v>988</v>
      </c>
      <c r="AJ166">
        <v>989</v>
      </c>
      <c r="AK166">
        <v>989</v>
      </c>
      <c r="AL166">
        <v>989</v>
      </c>
      <c r="AM166">
        <v>989</v>
      </c>
      <c r="AN166">
        <v>989</v>
      </c>
      <c r="AO166">
        <v>989</v>
      </c>
      <c r="AP166">
        <v>990</v>
      </c>
      <c r="AQ166">
        <v>990</v>
      </c>
      <c r="AR166">
        <v>990</v>
      </c>
      <c r="AS166">
        <v>990</v>
      </c>
      <c r="AT166">
        <v>990</v>
      </c>
      <c r="AU166">
        <v>990</v>
      </c>
      <c r="AV166">
        <v>990</v>
      </c>
      <c r="AW166">
        <v>990</v>
      </c>
      <c r="AX166">
        <v>990</v>
      </c>
      <c r="AY166">
        <v>990</v>
      </c>
      <c r="AZ166">
        <v>990</v>
      </c>
      <c r="BA166">
        <v>990</v>
      </c>
      <c r="BB166">
        <v>990</v>
      </c>
    </row>
    <row r="167" spans="1:54" hidden="1" x14ac:dyDescent="0.3">
      <c r="A167" t="s">
        <v>172</v>
      </c>
      <c r="B167" t="s">
        <v>163</v>
      </c>
      <c r="C167">
        <v>27.614000000000001</v>
      </c>
      <c r="D167">
        <v>115.7221</v>
      </c>
      <c r="E167">
        <v>2</v>
      </c>
      <c r="F167">
        <v>7</v>
      </c>
      <c r="G167">
        <v>18</v>
      </c>
      <c r="H167">
        <v>18</v>
      </c>
      <c r="I167">
        <v>36</v>
      </c>
      <c r="J167">
        <v>72</v>
      </c>
      <c r="K167">
        <v>109</v>
      </c>
      <c r="L167">
        <v>109</v>
      </c>
      <c r="M167">
        <v>162</v>
      </c>
      <c r="N167">
        <v>240</v>
      </c>
      <c r="O167">
        <v>286</v>
      </c>
      <c r="P167">
        <v>333</v>
      </c>
      <c r="Q167">
        <v>391</v>
      </c>
      <c r="R167">
        <v>476</v>
      </c>
      <c r="S167">
        <v>548</v>
      </c>
      <c r="T167">
        <v>600</v>
      </c>
      <c r="U167">
        <v>661</v>
      </c>
      <c r="V167">
        <v>698</v>
      </c>
      <c r="W167">
        <v>740</v>
      </c>
      <c r="X167">
        <v>771</v>
      </c>
      <c r="Y167">
        <v>804</v>
      </c>
      <c r="Z167">
        <v>844</v>
      </c>
      <c r="AA167">
        <v>872</v>
      </c>
      <c r="AB167">
        <v>900</v>
      </c>
      <c r="AC167">
        <v>913</v>
      </c>
      <c r="AD167">
        <v>925</v>
      </c>
      <c r="AE167">
        <v>930</v>
      </c>
      <c r="AF167">
        <v>933</v>
      </c>
      <c r="AG167">
        <v>934</v>
      </c>
      <c r="AH167">
        <v>934</v>
      </c>
      <c r="AI167">
        <v>934</v>
      </c>
      <c r="AJ167">
        <v>934</v>
      </c>
      <c r="AK167">
        <v>934</v>
      </c>
      <c r="AL167">
        <v>934</v>
      </c>
      <c r="AM167">
        <v>934</v>
      </c>
      <c r="AN167">
        <v>934</v>
      </c>
      <c r="AO167">
        <v>934</v>
      </c>
      <c r="AP167">
        <v>935</v>
      </c>
      <c r="AQ167">
        <v>935</v>
      </c>
      <c r="AR167">
        <v>935</v>
      </c>
      <c r="AS167">
        <v>935</v>
      </c>
      <c r="AT167">
        <v>935</v>
      </c>
      <c r="AU167">
        <v>935</v>
      </c>
      <c r="AV167">
        <v>935</v>
      </c>
      <c r="AW167">
        <v>935</v>
      </c>
      <c r="AX167">
        <v>935</v>
      </c>
      <c r="AY167">
        <v>935</v>
      </c>
      <c r="AZ167">
        <v>935</v>
      </c>
      <c r="BA167">
        <v>935</v>
      </c>
      <c r="BB167">
        <v>935</v>
      </c>
    </row>
    <row r="168" spans="1:54" hidden="1" x14ac:dyDescent="0.3">
      <c r="A168" t="s">
        <v>173</v>
      </c>
      <c r="B168" t="s">
        <v>163</v>
      </c>
      <c r="C168">
        <v>36.342700000000001</v>
      </c>
      <c r="D168">
        <v>118.1498</v>
      </c>
      <c r="E168">
        <v>2</v>
      </c>
      <c r="F168">
        <v>6</v>
      </c>
      <c r="G168">
        <v>15</v>
      </c>
      <c r="H168">
        <v>27</v>
      </c>
      <c r="I168">
        <v>46</v>
      </c>
      <c r="J168">
        <v>75</v>
      </c>
      <c r="K168">
        <v>95</v>
      </c>
      <c r="L168">
        <v>130</v>
      </c>
      <c r="M168">
        <v>158</v>
      </c>
      <c r="N168">
        <v>184</v>
      </c>
      <c r="O168">
        <v>206</v>
      </c>
      <c r="P168">
        <v>230</v>
      </c>
      <c r="Q168">
        <v>259</v>
      </c>
      <c r="R168">
        <v>275</v>
      </c>
      <c r="S168">
        <v>307</v>
      </c>
      <c r="T168">
        <v>347</v>
      </c>
      <c r="U168">
        <v>386</v>
      </c>
      <c r="V168">
        <v>416</v>
      </c>
      <c r="W168">
        <v>444</v>
      </c>
      <c r="X168">
        <v>466</v>
      </c>
      <c r="Y168">
        <v>487</v>
      </c>
      <c r="Z168">
        <v>497</v>
      </c>
      <c r="AA168">
        <v>509</v>
      </c>
      <c r="AB168">
        <v>523</v>
      </c>
      <c r="AC168">
        <v>532</v>
      </c>
      <c r="AD168">
        <v>537</v>
      </c>
      <c r="AE168">
        <v>541</v>
      </c>
      <c r="AF168">
        <v>543</v>
      </c>
      <c r="AG168">
        <v>544</v>
      </c>
      <c r="AH168">
        <v>546</v>
      </c>
      <c r="AI168">
        <v>749</v>
      </c>
      <c r="AJ168">
        <v>750</v>
      </c>
      <c r="AK168">
        <v>754</v>
      </c>
      <c r="AL168">
        <v>755</v>
      </c>
      <c r="AM168">
        <v>756</v>
      </c>
      <c r="AN168">
        <v>756</v>
      </c>
      <c r="AO168">
        <v>756</v>
      </c>
      <c r="AP168">
        <v>756</v>
      </c>
      <c r="AQ168">
        <v>756</v>
      </c>
      <c r="AR168">
        <v>758</v>
      </c>
      <c r="AS168">
        <v>758</v>
      </c>
      <c r="AT168">
        <v>758</v>
      </c>
      <c r="AU168">
        <v>758</v>
      </c>
      <c r="AV168">
        <v>758</v>
      </c>
      <c r="AW168">
        <v>758</v>
      </c>
      <c r="AX168">
        <v>758</v>
      </c>
      <c r="AY168">
        <v>758</v>
      </c>
      <c r="AZ168">
        <v>758</v>
      </c>
      <c r="BA168">
        <v>758</v>
      </c>
      <c r="BB168">
        <v>760</v>
      </c>
    </row>
    <row r="169" spans="1:54" hidden="1" x14ac:dyDescent="0.3">
      <c r="A169" t="s">
        <v>111</v>
      </c>
      <c r="B169" t="s">
        <v>174</v>
      </c>
      <c r="C169">
        <v>35.4437</v>
      </c>
      <c r="D169">
        <v>139.63800000000001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61</v>
      </c>
      <c r="V169">
        <v>61</v>
      </c>
      <c r="W169">
        <v>64</v>
      </c>
      <c r="X169">
        <v>135</v>
      </c>
      <c r="Y169">
        <v>135</v>
      </c>
      <c r="Z169">
        <v>175</v>
      </c>
      <c r="AA169">
        <v>175</v>
      </c>
      <c r="AB169">
        <v>218</v>
      </c>
      <c r="AC169">
        <v>285</v>
      </c>
      <c r="AD169">
        <v>355</v>
      </c>
      <c r="AE169">
        <v>454</v>
      </c>
      <c r="AF169">
        <v>542</v>
      </c>
      <c r="AG169">
        <v>621</v>
      </c>
      <c r="AH169">
        <v>634</v>
      </c>
      <c r="AI169">
        <v>634</v>
      </c>
      <c r="AJ169">
        <v>634</v>
      </c>
      <c r="AK169">
        <v>691</v>
      </c>
      <c r="AL169">
        <v>691</v>
      </c>
      <c r="AM169">
        <v>691</v>
      </c>
      <c r="AN169">
        <v>705</v>
      </c>
      <c r="AO169">
        <v>705</v>
      </c>
      <c r="AP169">
        <v>705</v>
      </c>
      <c r="AQ169">
        <v>705</v>
      </c>
      <c r="AR169">
        <v>705</v>
      </c>
      <c r="AS169">
        <v>705</v>
      </c>
      <c r="AT169">
        <v>706</v>
      </c>
      <c r="AU169">
        <v>706</v>
      </c>
      <c r="AV169">
        <v>706</v>
      </c>
      <c r="AW169">
        <v>696</v>
      </c>
      <c r="AX169">
        <v>696</v>
      </c>
      <c r="AY169">
        <v>696</v>
      </c>
      <c r="AZ169">
        <v>696</v>
      </c>
      <c r="BA169">
        <v>696</v>
      </c>
      <c r="BB169">
        <v>696</v>
      </c>
    </row>
    <row r="170" spans="1:54" hidden="1" x14ac:dyDescent="0.3">
      <c r="A170" t="s">
        <v>175</v>
      </c>
      <c r="B170" t="s">
        <v>163</v>
      </c>
      <c r="C170">
        <v>32.9711</v>
      </c>
      <c r="D170">
        <v>119.455</v>
      </c>
      <c r="E170">
        <v>1</v>
      </c>
      <c r="F170">
        <v>5</v>
      </c>
      <c r="G170">
        <v>9</v>
      </c>
      <c r="H170">
        <v>18</v>
      </c>
      <c r="I170">
        <v>33</v>
      </c>
      <c r="J170">
        <v>47</v>
      </c>
      <c r="K170">
        <v>70</v>
      </c>
      <c r="L170">
        <v>99</v>
      </c>
      <c r="M170">
        <v>129</v>
      </c>
      <c r="N170">
        <v>168</v>
      </c>
      <c r="O170">
        <v>202</v>
      </c>
      <c r="P170">
        <v>236</v>
      </c>
      <c r="Q170">
        <v>271</v>
      </c>
      <c r="R170">
        <v>308</v>
      </c>
      <c r="S170">
        <v>341</v>
      </c>
      <c r="T170">
        <v>373</v>
      </c>
      <c r="U170">
        <v>408</v>
      </c>
      <c r="V170">
        <v>439</v>
      </c>
      <c r="W170">
        <v>468</v>
      </c>
      <c r="X170">
        <v>492</v>
      </c>
      <c r="Y170">
        <v>515</v>
      </c>
      <c r="Z170">
        <v>543</v>
      </c>
      <c r="AA170">
        <v>570</v>
      </c>
      <c r="AB170">
        <v>593</v>
      </c>
      <c r="AC170">
        <v>604</v>
      </c>
      <c r="AD170">
        <v>617</v>
      </c>
      <c r="AE170">
        <v>626</v>
      </c>
      <c r="AF170">
        <v>629</v>
      </c>
      <c r="AG170">
        <v>631</v>
      </c>
      <c r="AH170">
        <v>631</v>
      </c>
      <c r="AI170">
        <v>631</v>
      </c>
      <c r="AJ170">
        <v>631</v>
      </c>
      <c r="AK170">
        <v>631</v>
      </c>
      <c r="AL170">
        <v>631</v>
      </c>
      <c r="AM170">
        <v>631</v>
      </c>
      <c r="AN170">
        <v>631</v>
      </c>
      <c r="AO170">
        <v>631</v>
      </c>
      <c r="AP170">
        <v>631</v>
      </c>
      <c r="AQ170">
        <v>631</v>
      </c>
      <c r="AR170">
        <v>631</v>
      </c>
      <c r="AS170">
        <v>631</v>
      </c>
      <c r="AT170">
        <v>631</v>
      </c>
      <c r="AU170">
        <v>631</v>
      </c>
      <c r="AV170">
        <v>631</v>
      </c>
      <c r="AW170">
        <v>631</v>
      </c>
      <c r="AX170">
        <v>631</v>
      </c>
      <c r="AY170">
        <v>631</v>
      </c>
      <c r="AZ170">
        <v>631</v>
      </c>
      <c r="BA170">
        <v>631</v>
      </c>
      <c r="BB170">
        <v>631</v>
      </c>
    </row>
    <row r="171" spans="1:54" hidden="1" x14ac:dyDescent="0.3">
      <c r="A171" t="s">
        <v>176</v>
      </c>
      <c r="B171" t="s">
        <v>163</v>
      </c>
      <c r="C171">
        <v>30.057200000000002</v>
      </c>
      <c r="D171">
        <v>107.874</v>
      </c>
      <c r="E171">
        <v>6</v>
      </c>
      <c r="F171">
        <v>9</v>
      </c>
      <c r="G171">
        <v>27</v>
      </c>
      <c r="H171">
        <v>57</v>
      </c>
      <c r="I171">
        <v>75</v>
      </c>
      <c r="J171">
        <v>110</v>
      </c>
      <c r="K171">
        <v>132</v>
      </c>
      <c r="L171">
        <v>147</v>
      </c>
      <c r="M171">
        <v>182</v>
      </c>
      <c r="N171">
        <v>211</v>
      </c>
      <c r="O171">
        <v>247</v>
      </c>
      <c r="P171">
        <v>300</v>
      </c>
      <c r="Q171">
        <v>337</v>
      </c>
      <c r="R171">
        <v>366</v>
      </c>
      <c r="S171">
        <v>389</v>
      </c>
      <c r="T171">
        <v>411</v>
      </c>
      <c r="U171">
        <v>426</v>
      </c>
      <c r="V171">
        <v>428</v>
      </c>
      <c r="W171">
        <v>468</v>
      </c>
      <c r="X171">
        <v>486</v>
      </c>
      <c r="Y171">
        <v>505</v>
      </c>
      <c r="Z171">
        <v>518</v>
      </c>
      <c r="AA171">
        <v>529</v>
      </c>
      <c r="AB171">
        <v>537</v>
      </c>
      <c r="AC171">
        <v>544</v>
      </c>
      <c r="AD171">
        <v>551</v>
      </c>
      <c r="AE171">
        <v>553</v>
      </c>
      <c r="AF171">
        <v>555</v>
      </c>
      <c r="AG171">
        <v>560</v>
      </c>
      <c r="AH171">
        <v>567</v>
      </c>
      <c r="AI171">
        <v>572</v>
      </c>
      <c r="AJ171">
        <v>573</v>
      </c>
      <c r="AK171">
        <v>575</v>
      </c>
      <c r="AL171">
        <v>576</v>
      </c>
      <c r="AM171">
        <v>576</v>
      </c>
      <c r="AN171">
        <v>576</v>
      </c>
      <c r="AO171">
        <v>576</v>
      </c>
      <c r="AP171">
        <v>576</v>
      </c>
      <c r="AQ171">
        <v>576</v>
      </c>
      <c r="AR171">
        <v>576</v>
      </c>
      <c r="AS171">
        <v>576</v>
      </c>
      <c r="AT171">
        <v>576</v>
      </c>
      <c r="AU171">
        <v>576</v>
      </c>
      <c r="AV171">
        <v>576</v>
      </c>
      <c r="AW171">
        <v>576</v>
      </c>
      <c r="AX171">
        <v>576</v>
      </c>
      <c r="AY171">
        <v>576</v>
      </c>
      <c r="AZ171">
        <v>576</v>
      </c>
      <c r="BA171">
        <v>576</v>
      </c>
      <c r="BB171">
        <v>576</v>
      </c>
    </row>
    <row r="172" spans="1:54" hidden="1" x14ac:dyDescent="0.3">
      <c r="A172" t="s">
        <v>177</v>
      </c>
      <c r="B172" t="s">
        <v>163</v>
      </c>
      <c r="C172">
        <v>30.617100000000001</v>
      </c>
      <c r="D172">
        <v>102.7103</v>
      </c>
      <c r="E172">
        <v>5</v>
      </c>
      <c r="F172">
        <v>8</v>
      </c>
      <c r="G172">
        <v>15</v>
      </c>
      <c r="H172">
        <v>28</v>
      </c>
      <c r="I172">
        <v>44</v>
      </c>
      <c r="J172">
        <v>69</v>
      </c>
      <c r="K172">
        <v>90</v>
      </c>
      <c r="L172">
        <v>108</v>
      </c>
      <c r="M172">
        <v>142</v>
      </c>
      <c r="N172">
        <v>177</v>
      </c>
      <c r="O172">
        <v>207</v>
      </c>
      <c r="P172">
        <v>231</v>
      </c>
      <c r="Q172">
        <v>254</v>
      </c>
      <c r="R172">
        <v>282</v>
      </c>
      <c r="S172">
        <v>301</v>
      </c>
      <c r="T172">
        <v>321</v>
      </c>
      <c r="U172">
        <v>344</v>
      </c>
      <c r="V172">
        <v>364</v>
      </c>
      <c r="W172">
        <v>386</v>
      </c>
      <c r="X172">
        <v>405</v>
      </c>
      <c r="Y172">
        <v>417</v>
      </c>
      <c r="Z172">
        <v>436</v>
      </c>
      <c r="AA172">
        <v>451</v>
      </c>
      <c r="AB172">
        <v>463</v>
      </c>
      <c r="AC172">
        <v>470</v>
      </c>
      <c r="AD172">
        <v>481</v>
      </c>
      <c r="AE172">
        <v>495</v>
      </c>
      <c r="AF172">
        <v>508</v>
      </c>
      <c r="AG172">
        <v>514</v>
      </c>
      <c r="AH172">
        <v>520</v>
      </c>
      <c r="AI172">
        <v>525</v>
      </c>
      <c r="AJ172">
        <v>526</v>
      </c>
      <c r="AK172">
        <v>526</v>
      </c>
      <c r="AL172">
        <v>527</v>
      </c>
      <c r="AM172">
        <v>529</v>
      </c>
      <c r="AN172">
        <v>531</v>
      </c>
      <c r="AO172">
        <v>534</v>
      </c>
      <c r="AP172">
        <v>538</v>
      </c>
      <c r="AQ172">
        <v>538</v>
      </c>
      <c r="AR172">
        <v>538</v>
      </c>
      <c r="AS172">
        <v>538</v>
      </c>
      <c r="AT172">
        <v>538</v>
      </c>
      <c r="AU172">
        <v>538</v>
      </c>
      <c r="AV172">
        <v>539</v>
      </c>
      <c r="AW172">
        <v>539</v>
      </c>
      <c r="AX172">
        <v>539</v>
      </c>
      <c r="AY172">
        <v>539</v>
      </c>
      <c r="AZ172">
        <v>539</v>
      </c>
      <c r="BA172">
        <v>539</v>
      </c>
      <c r="BB172">
        <v>539</v>
      </c>
    </row>
    <row r="173" spans="1:54" hidden="1" x14ac:dyDescent="0.3">
      <c r="A173" t="s">
        <v>178</v>
      </c>
      <c r="B173" t="s">
        <v>163</v>
      </c>
      <c r="C173">
        <v>47.862000000000002</v>
      </c>
      <c r="D173">
        <v>127.7615</v>
      </c>
      <c r="E173">
        <v>0</v>
      </c>
      <c r="F173">
        <v>2</v>
      </c>
      <c r="G173">
        <v>4</v>
      </c>
      <c r="H173">
        <v>9</v>
      </c>
      <c r="I173">
        <v>15</v>
      </c>
      <c r="J173">
        <v>21</v>
      </c>
      <c r="K173">
        <v>33</v>
      </c>
      <c r="L173">
        <v>38</v>
      </c>
      <c r="M173">
        <v>44</v>
      </c>
      <c r="N173">
        <v>59</v>
      </c>
      <c r="O173">
        <v>80</v>
      </c>
      <c r="P173">
        <v>95</v>
      </c>
      <c r="Q173">
        <v>121</v>
      </c>
      <c r="R173">
        <v>155</v>
      </c>
      <c r="S173">
        <v>190</v>
      </c>
      <c r="T173">
        <v>227</v>
      </c>
      <c r="U173">
        <v>277</v>
      </c>
      <c r="V173">
        <v>295</v>
      </c>
      <c r="W173">
        <v>307</v>
      </c>
      <c r="X173">
        <v>331</v>
      </c>
      <c r="Y173">
        <v>360</v>
      </c>
      <c r="Z173">
        <v>378</v>
      </c>
      <c r="AA173">
        <v>395</v>
      </c>
      <c r="AB173">
        <v>419</v>
      </c>
      <c r="AC173">
        <v>425</v>
      </c>
      <c r="AD173">
        <v>445</v>
      </c>
      <c r="AE173">
        <v>457</v>
      </c>
      <c r="AF173">
        <v>464</v>
      </c>
      <c r="AG173">
        <v>470</v>
      </c>
      <c r="AH173">
        <v>476</v>
      </c>
      <c r="AI173">
        <v>479</v>
      </c>
      <c r="AJ173">
        <v>479</v>
      </c>
      <c r="AK173">
        <v>480</v>
      </c>
      <c r="AL173">
        <v>480</v>
      </c>
      <c r="AM173">
        <v>480</v>
      </c>
      <c r="AN173">
        <v>480</v>
      </c>
      <c r="AO173">
        <v>480</v>
      </c>
      <c r="AP173">
        <v>480</v>
      </c>
      <c r="AQ173">
        <v>480</v>
      </c>
      <c r="AR173">
        <v>480</v>
      </c>
      <c r="AS173">
        <v>480</v>
      </c>
      <c r="AT173">
        <v>480</v>
      </c>
      <c r="AU173">
        <v>480</v>
      </c>
      <c r="AV173">
        <v>481</v>
      </c>
      <c r="AW173">
        <v>481</v>
      </c>
      <c r="AX173">
        <v>481</v>
      </c>
      <c r="AY173">
        <v>481</v>
      </c>
      <c r="AZ173">
        <v>481</v>
      </c>
      <c r="BA173">
        <v>481</v>
      </c>
      <c r="BB173">
        <v>482</v>
      </c>
    </row>
    <row r="174" spans="1:54" hidden="1" x14ac:dyDescent="0.3">
      <c r="A174" t="s">
        <v>179</v>
      </c>
      <c r="B174" t="s">
        <v>180</v>
      </c>
      <c r="C174">
        <v>55.378100000000003</v>
      </c>
      <c r="D174">
        <v>-3.4359999999999999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2</v>
      </c>
      <c r="O174">
        <v>2</v>
      </c>
      <c r="P174">
        <v>2</v>
      </c>
      <c r="Q174">
        <v>2</v>
      </c>
      <c r="R174">
        <v>2</v>
      </c>
      <c r="S174">
        <v>2</v>
      </c>
      <c r="T174">
        <v>2</v>
      </c>
      <c r="U174">
        <v>3</v>
      </c>
      <c r="V174">
        <v>3</v>
      </c>
      <c r="W174">
        <v>3</v>
      </c>
      <c r="X174">
        <v>8</v>
      </c>
      <c r="Y174">
        <v>8</v>
      </c>
      <c r="Z174">
        <v>9</v>
      </c>
      <c r="AA174">
        <v>9</v>
      </c>
      <c r="AB174">
        <v>9</v>
      </c>
      <c r="AC174">
        <v>9</v>
      </c>
      <c r="AD174">
        <v>9</v>
      </c>
      <c r="AE174">
        <v>9</v>
      </c>
      <c r="AF174">
        <v>9</v>
      </c>
      <c r="AG174">
        <v>9</v>
      </c>
      <c r="AH174">
        <v>9</v>
      </c>
      <c r="AI174">
        <v>9</v>
      </c>
      <c r="AJ174">
        <v>9</v>
      </c>
      <c r="AK174">
        <v>9</v>
      </c>
      <c r="AL174">
        <v>13</v>
      </c>
      <c r="AM174">
        <v>13</v>
      </c>
      <c r="AN174">
        <v>13</v>
      </c>
      <c r="AO174">
        <v>15</v>
      </c>
      <c r="AP174">
        <v>20</v>
      </c>
      <c r="AQ174">
        <v>23</v>
      </c>
      <c r="AR174">
        <v>36</v>
      </c>
      <c r="AS174">
        <v>40</v>
      </c>
      <c r="AT174">
        <v>51</v>
      </c>
      <c r="AU174">
        <v>85</v>
      </c>
      <c r="AV174">
        <v>115</v>
      </c>
      <c r="AW174">
        <v>163</v>
      </c>
      <c r="AX174">
        <v>206</v>
      </c>
      <c r="AY174">
        <v>273</v>
      </c>
      <c r="AZ174">
        <v>321</v>
      </c>
      <c r="BA174">
        <v>382</v>
      </c>
      <c r="BB174">
        <v>456</v>
      </c>
    </row>
    <row r="175" spans="1:54" hidden="1" x14ac:dyDescent="0.3">
      <c r="A175" t="s">
        <v>181</v>
      </c>
      <c r="B175" t="s">
        <v>181</v>
      </c>
      <c r="C175">
        <v>56.2639</v>
      </c>
      <c r="D175">
        <v>9.5017999999999994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1</v>
      </c>
      <c r="AP175">
        <v>1</v>
      </c>
      <c r="AQ175">
        <v>3</v>
      </c>
      <c r="AR175">
        <v>4</v>
      </c>
      <c r="AS175">
        <v>4</v>
      </c>
      <c r="AT175">
        <v>6</v>
      </c>
      <c r="AU175">
        <v>10</v>
      </c>
      <c r="AV175">
        <v>10</v>
      </c>
      <c r="AW175">
        <v>23</v>
      </c>
      <c r="AX175">
        <v>23</v>
      </c>
      <c r="AY175">
        <v>35</v>
      </c>
      <c r="AZ175">
        <v>90</v>
      </c>
      <c r="BA175">
        <v>262</v>
      </c>
      <c r="BB175">
        <v>442</v>
      </c>
    </row>
    <row r="176" spans="1:54" hidden="1" x14ac:dyDescent="0.3">
      <c r="A176" t="s">
        <v>182</v>
      </c>
      <c r="B176" t="s">
        <v>163</v>
      </c>
      <c r="C176">
        <v>40.182400000000001</v>
      </c>
      <c r="D176">
        <v>116.41419999999999</v>
      </c>
      <c r="E176">
        <v>14</v>
      </c>
      <c r="F176">
        <v>22</v>
      </c>
      <c r="G176">
        <v>36</v>
      </c>
      <c r="H176">
        <v>41</v>
      </c>
      <c r="I176">
        <v>68</v>
      </c>
      <c r="J176">
        <v>80</v>
      </c>
      <c r="K176">
        <v>91</v>
      </c>
      <c r="L176">
        <v>111</v>
      </c>
      <c r="M176">
        <v>114</v>
      </c>
      <c r="N176">
        <v>139</v>
      </c>
      <c r="O176">
        <v>168</v>
      </c>
      <c r="P176">
        <v>191</v>
      </c>
      <c r="Q176">
        <v>212</v>
      </c>
      <c r="R176">
        <v>228</v>
      </c>
      <c r="S176">
        <v>253</v>
      </c>
      <c r="T176">
        <v>274</v>
      </c>
      <c r="U176">
        <v>297</v>
      </c>
      <c r="V176">
        <v>315</v>
      </c>
      <c r="W176">
        <v>326</v>
      </c>
      <c r="X176">
        <v>337</v>
      </c>
      <c r="Y176">
        <v>342</v>
      </c>
      <c r="Z176">
        <v>352</v>
      </c>
      <c r="AA176">
        <v>366</v>
      </c>
      <c r="AB176">
        <v>372</v>
      </c>
      <c r="AC176">
        <v>375</v>
      </c>
      <c r="AD176">
        <v>380</v>
      </c>
      <c r="AE176">
        <v>381</v>
      </c>
      <c r="AF176">
        <v>387</v>
      </c>
      <c r="AG176">
        <v>393</v>
      </c>
      <c r="AH176">
        <v>395</v>
      </c>
      <c r="AI176">
        <v>396</v>
      </c>
      <c r="AJ176">
        <v>399</v>
      </c>
      <c r="AK176">
        <v>399</v>
      </c>
      <c r="AL176">
        <v>399</v>
      </c>
      <c r="AM176">
        <v>400</v>
      </c>
      <c r="AN176">
        <v>400</v>
      </c>
      <c r="AO176">
        <v>410</v>
      </c>
      <c r="AP176">
        <v>410</v>
      </c>
      <c r="AQ176">
        <v>411</v>
      </c>
      <c r="AR176">
        <v>413</v>
      </c>
      <c r="AS176">
        <v>414</v>
      </c>
      <c r="AT176">
        <v>414</v>
      </c>
      <c r="AU176">
        <v>418</v>
      </c>
      <c r="AV176">
        <v>418</v>
      </c>
      <c r="AW176">
        <v>422</v>
      </c>
      <c r="AX176">
        <v>426</v>
      </c>
      <c r="AY176">
        <v>428</v>
      </c>
      <c r="AZ176">
        <v>428</v>
      </c>
      <c r="BA176">
        <v>429</v>
      </c>
      <c r="BB176">
        <v>435</v>
      </c>
    </row>
    <row r="177" spans="1:54" hidden="1" x14ac:dyDescent="0.3">
      <c r="A177" t="s">
        <v>183</v>
      </c>
      <c r="B177" t="s">
        <v>163</v>
      </c>
      <c r="C177">
        <v>31.202000000000002</v>
      </c>
      <c r="D177">
        <v>121.4491</v>
      </c>
      <c r="E177">
        <v>9</v>
      </c>
      <c r="F177">
        <v>16</v>
      </c>
      <c r="G177">
        <v>20</v>
      </c>
      <c r="H177">
        <v>33</v>
      </c>
      <c r="I177">
        <v>40</v>
      </c>
      <c r="J177">
        <v>53</v>
      </c>
      <c r="K177">
        <v>66</v>
      </c>
      <c r="L177">
        <v>96</v>
      </c>
      <c r="M177">
        <v>112</v>
      </c>
      <c r="N177">
        <v>135</v>
      </c>
      <c r="O177">
        <v>169</v>
      </c>
      <c r="P177">
        <v>182</v>
      </c>
      <c r="Q177">
        <v>203</v>
      </c>
      <c r="R177">
        <v>219</v>
      </c>
      <c r="S177">
        <v>243</v>
      </c>
      <c r="T177">
        <v>257</v>
      </c>
      <c r="U177">
        <v>277</v>
      </c>
      <c r="V177">
        <v>286</v>
      </c>
      <c r="W177">
        <v>293</v>
      </c>
      <c r="X177">
        <v>299</v>
      </c>
      <c r="Y177">
        <v>303</v>
      </c>
      <c r="Z177">
        <v>311</v>
      </c>
      <c r="AA177">
        <v>315</v>
      </c>
      <c r="AB177">
        <v>318</v>
      </c>
      <c r="AC177">
        <v>326</v>
      </c>
      <c r="AD177">
        <v>328</v>
      </c>
      <c r="AE177">
        <v>333</v>
      </c>
      <c r="AF177">
        <v>333</v>
      </c>
      <c r="AG177">
        <v>333</v>
      </c>
      <c r="AH177">
        <v>334</v>
      </c>
      <c r="AI177">
        <v>334</v>
      </c>
      <c r="AJ177">
        <v>335</v>
      </c>
      <c r="AK177">
        <v>335</v>
      </c>
      <c r="AL177">
        <v>335</v>
      </c>
      <c r="AM177">
        <v>336</v>
      </c>
      <c r="AN177">
        <v>337</v>
      </c>
      <c r="AO177">
        <v>337</v>
      </c>
      <c r="AP177">
        <v>337</v>
      </c>
      <c r="AQ177">
        <v>337</v>
      </c>
      <c r="AR177">
        <v>337</v>
      </c>
      <c r="AS177">
        <v>337</v>
      </c>
      <c r="AT177">
        <v>338</v>
      </c>
      <c r="AU177">
        <v>338</v>
      </c>
      <c r="AV177">
        <v>339</v>
      </c>
      <c r="AW177">
        <v>342</v>
      </c>
      <c r="AX177">
        <v>342</v>
      </c>
      <c r="AY177">
        <v>342</v>
      </c>
      <c r="AZ177">
        <v>342</v>
      </c>
      <c r="BA177">
        <v>344</v>
      </c>
      <c r="BB177">
        <v>344</v>
      </c>
    </row>
    <row r="178" spans="1:54" hidden="1" x14ac:dyDescent="0.3">
      <c r="A178" t="s">
        <v>184</v>
      </c>
      <c r="B178" t="s">
        <v>163</v>
      </c>
      <c r="C178">
        <v>39.548999999999999</v>
      </c>
      <c r="D178">
        <v>116.1306</v>
      </c>
      <c r="E178">
        <v>1</v>
      </c>
      <c r="F178">
        <v>1</v>
      </c>
      <c r="G178">
        <v>2</v>
      </c>
      <c r="H178">
        <v>8</v>
      </c>
      <c r="I178">
        <v>13</v>
      </c>
      <c r="J178">
        <v>18</v>
      </c>
      <c r="K178">
        <v>33</v>
      </c>
      <c r="L178">
        <v>48</v>
      </c>
      <c r="M178">
        <v>65</v>
      </c>
      <c r="N178">
        <v>82</v>
      </c>
      <c r="O178">
        <v>96</v>
      </c>
      <c r="P178">
        <v>104</v>
      </c>
      <c r="Q178">
        <v>113</v>
      </c>
      <c r="R178">
        <v>126</v>
      </c>
      <c r="S178">
        <v>135</v>
      </c>
      <c r="T178">
        <v>157</v>
      </c>
      <c r="U178">
        <v>172</v>
      </c>
      <c r="V178">
        <v>195</v>
      </c>
      <c r="W178">
        <v>206</v>
      </c>
      <c r="X178">
        <v>218</v>
      </c>
      <c r="Y178">
        <v>239</v>
      </c>
      <c r="Z178">
        <v>251</v>
      </c>
      <c r="AA178">
        <v>265</v>
      </c>
      <c r="AB178">
        <v>283</v>
      </c>
      <c r="AC178">
        <v>291</v>
      </c>
      <c r="AD178">
        <v>300</v>
      </c>
      <c r="AE178">
        <v>301</v>
      </c>
      <c r="AF178">
        <v>306</v>
      </c>
      <c r="AG178">
        <v>306</v>
      </c>
      <c r="AH178">
        <v>307</v>
      </c>
      <c r="AI178">
        <v>308</v>
      </c>
      <c r="AJ178">
        <v>309</v>
      </c>
      <c r="AK178">
        <v>311</v>
      </c>
      <c r="AL178">
        <v>311</v>
      </c>
      <c r="AM178">
        <v>311</v>
      </c>
      <c r="AN178">
        <v>312</v>
      </c>
      <c r="AO178">
        <v>317</v>
      </c>
      <c r="AP178">
        <v>318</v>
      </c>
      <c r="AQ178">
        <v>318</v>
      </c>
      <c r="AR178">
        <v>318</v>
      </c>
      <c r="AS178">
        <v>318</v>
      </c>
      <c r="AT178">
        <v>318</v>
      </c>
      <c r="AU178">
        <v>318</v>
      </c>
      <c r="AV178">
        <v>318</v>
      </c>
      <c r="AW178">
        <v>318</v>
      </c>
      <c r="AX178">
        <v>318</v>
      </c>
      <c r="AY178">
        <v>318</v>
      </c>
      <c r="AZ178">
        <v>318</v>
      </c>
      <c r="BA178">
        <v>318</v>
      </c>
      <c r="BB178">
        <v>318</v>
      </c>
    </row>
    <row r="179" spans="1:54" hidden="1" x14ac:dyDescent="0.3">
      <c r="A179" t="s">
        <v>185</v>
      </c>
      <c r="B179" t="s">
        <v>163</v>
      </c>
      <c r="C179">
        <v>26.078900000000001</v>
      </c>
      <c r="D179">
        <v>117.98739999999999</v>
      </c>
      <c r="E179">
        <v>1</v>
      </c>
      <c r="F179">
        <v>5</v>
      </c>
      <c r="G179">
        <v>10</v>
      </c>
      <c r="H179">
        <v>18</v>
      </c>
      <c r="I179">
        <v>35</v>
      </c>
      <c r="J179">
        <v>59</v>
      </c>
      <c r="K179">
        <v>80</v>
      </c>
      <c r="L179">
        <v>84</v>
      </c>
      <c r="M179">
        <v>101</v>
      </c>
      <c r="N179">
        <v>120</v>
      </c>
      <c r="O179">
        <v>144</v>
      </c>
      <c r="P179">
        <v>159</v>
      </c>
      <c r="Q179">
        <v>179</v>
      </c>
      <c r="R179">
        <v>194</v>
      </c>
      <c r="S179">
        <v>205</v>
      </c>
      <c r="T179">
        <v>215</v>
      </c>
      <c r="U179">
        <v>224</v>
      </c>
      <c r="V179">
        <v>239</v>
      </c>
      <c r="W179">
        <v>250</v>
      </c>
      <c r="X179">
        <v>261</v>
      </c>
      <c r="Y179">
        <v>267</v>
      </c>
      <c r="Z179">
        <v>272</v>
      </c>
      <c r="AA179">
        <v>279</v>
      </c>
      <c r="AB179">
        <v>281</v>
      </c>
      <c r="AC179">
        <v>285</v>
      </c>
      <c r="AD179">
        <v>287</v>
      </c>
      <c r="AE179">
        <v>290</v>
      </c>
      <c r="AF179">
        <v>292</v>
      </c>
      <c r="AG179">
        <v>293</v>
      </c>
      <c r="AH179">
        <v>293</v>
      </c>
      <c r="AI179">
        <v>293</v>
      </c>
      <c r="AJ179">
        <v>293</v>
      </c>
      <c r="AK179">
        <v>293</v>
      </c>
      <c r="AL179">
        <v>293</v>
      </c>
      <c r="AM179">
        <v>294</v>
      </c>
      <c r="AN179">
        <v>294</v>
      </c>
      <c r="AO179">
        <v>296</v>
      </c>
      <c r="AP179">
        <v>296</v>
      </c>
      <c r="AQ179">
        <v>296</v>
      </c>
      <c r="AR179">
        <v>296</v>
      </c>
      <c r="AS179">
        <v>296</v>
      </c>
      <c r="AT179">
        <v>296</v>
      </c>
      <c r="AU179">
        <v>296</v>
      </c>
      <c r="AV179">
        <v>296</v>
      </c>
      <c r="AW179">
        <v>296</v>
      </c>
      <c r="AX179">
        <v>296</v>
      </c>
      <c r="AY179">
        <v>296</v>
      </c>
      <c r="AZ179">
        <v>296</v>
      </c>
      <c r="BA179">
        <v>296</v>
      </c>
      <c r="BB179">
        <v>296</v>
      </c>
    </row>
    <row r="180" spans="1:54" hidden="1" x14ac:dyDescent="0.3">
      <c r="A180" t="s">
        <v>186</v>
      </c>
      <c r="B180" t="s">
        <v>163</v>
      </c>
      <c r="C180">
        <v>23.829799999999999</v>
      </c>
      <c r="D180">
        <v>108.7881</v>
      </c>
      <c r="E180">
        <v>2</v>
      </c>
      <c r="F180">
        <v>5</v>
      </c>
      <c r="G180">
        <v>23</v>
      </c>
      <c r="H180">
        <v>23</v>
      </c>
      <c r="I180">
        <v>36</v>
      </c>
      <c r="J180">
        <v>46</v>
      </c>
      <c r="K180">
        <v>51</v>
      </c>
      <c r="L180">
        <v>58</v>
      </c>
      <c r="M180">
        <v>78</v>
      </c>
      <c r="N180">
        <v>87</v>
      </c>
      <c r="O180">
        <v>100</v>
      </c>
      <c r="P180">
        <v>111</v>
      </c>
      <c r="Q180">
        <v>127</v>
      </c>
      <c r="R180">
        <v>139</v>
      </c>
      <c r="S180">
        <v>150</v>
      </c>
      <c r="T180">
        <v>168</v>
      </c>
      <c r="U180">
        <v>172</v>
      </c>
      <c r="V180">
        <v>183</v>
      </c>
      <c r="W180">
        <v>195</v>
      </c>
      <c r="X180">
        <v>210</v>
      </c>
      <c r="Y180">
        <v>215</v>
      </c>
      <c r="Z180">
        <v>222</v>
      </c>
      <c r="AA180">
        <v>222</v>
      </c>
      <c r="AB180">
        <v>226</v>
      </c>
      <c r="AC180">
        <v>235</v>
      </c>
      <c r="AD180">
        <v>237</v>
      </c>
      <c r="AE180">
        <v>238</v>
      </c>
      <c r="AF180">
        <v>242</v>
      </c>
      <c r="AG180">
        <v>244</v>
      </c>
      <c r="AH180">
        <v>245</v>
      </c>
      <c r="AI180">
        <v>246</v>
      </c>
      <c r="AJ180">
        <v>249</v>
      </c>
      <c r="AK180">
        <v>249</v>
      </c>
      <c r="AL180">
        <v>251</v>
      </c>
      <c r="AM180">
        <v>252</v>
      </c>
      <c r="AN180">
        <v>252</v>
      </c>
      <c r="AO180">
        <v>252</v>
      </c>
      <c r="AP180">
        <v>252</v>
      </c>
      <c r="AQ180">
        <v>252</v>
      </c>
      <c r="AR180">
        <v>252</v>
      </c>
      <c r="AS180">
        <v>252</v>
      </c>
      <c r="AT180">
        <v>252</v>
      </c>
      <c r="AU180">
        <v>252</v>
      </c>
      <c r="AV180">
        <v>252</v>
      </c>
      <c r="AW180">
        <v>252</v>
      </c>
      <c r="AX180">
        <v>252</v>
      </c>
      <c r="AY180">
        <v>252</v>
      </c>
      <c r="AZ180">
        <v>252</v>
      </c>
      <c r="BA180">
        <v>252</v>
      </c>
      <c r="BB180">
        <v>252</v>
      </c>
    </row>
    <row r="181" spans="1:54" hidden="1" x14ac:dyDescent="0.3">
      <c r="A181" t="s">
        <v>187</v>
      </c>
      <c r="B181" t="s">
        <v>163</v>
      </c>
      <c r="C181">
        <v>35.191699999999997</v>
      </c>
      <c r="D181">
        <v>108.87009999999999</v>
      </c>
      <c r="E181">
        <v>0</v>
      </c>
      <c r="F181">
        <v>3</v>
      </c>
      <c r="G181">
        <v>5</v>
      </c>
      <c r="H181">
        <v>15</v>
      </c>
      <c r="I181">
        <v>22</v>
      </c>
      <c r="J181">
        <v>35</v>
      </c>
      <c r="K181">
        <v>46</v>
      </c>
      <c r="L181">
        <v>56</v>
      </c>
      <c r="M181">
        <v>63</v>
      </c>
      <c r="N181">
        <v>87</v>
      </c>
      <c r="O181">
        <v>101</v>
      </c>
      <c r="P181">
        <v>116</v>
      </c>
      <c r="Q181">
        <v>128</v>
      </c>
      <c r="R181">
        <v>142</v>
      </c>
      <c r="S181">
        <v>165</v>
      </c>
      <c r="T181">
        <v>173</v>
      </c>
      <c r="U181">
        <v>184</v>
      </c>
      <c r="V181">
        <v>195</v>
      </c>
      <c r="W181">
        <v>208</v>
      </c>
      <c r="X181">
        <v>213</v>
      </c>
      <c r="Y181">
        <v>219</v>
      </c>
      <c r="Z181">
        <v>225</v>
      </c>
      <c r="AA181">
        <v>229</v>
      </c>
      <c r="AB181">
        <v>230</v>
      </c>
      <c r="AC181">
        <v>232</v>
      </c>
      <c r="AD181">
        <v>236</v>
      </c>
      <c r="AE181">
        <v>240</v>
      </c>
      <c r="AF181">
        <v>240</v>
      </c>
      <c r="AG181">
        <v>242</v>
      </c>
      <c r="AH181">
        <v>245</v>
      </c>
      <c r="AI181">
        <v>245</v>
      </c>
      <c r="AJ181">
        <v>245</v>
      </c>
      <c r="AK181">
        <v>245</v>
      </c>
      <c r="AL181">
        <v>245</v>
      </c>
      <c r="AM181">
        <v>245</v>
      </c>
      <c r="AN181">
        <v>245</v>
      </c>
      <c r="AO181">
        <v>245</v>
      </c>
      <c r="AP181">
        <v>245</v>
      </c>
      <c r="AQ181">
        <v>245</v>
      </c>
      <c r="AR181">
        <v>245</v>
      </c>
      <c r="AS181">
        <v>245</v>
      </c>
      <c r="AT181">
        <v>245</v>
      </c>
      <c r="AU181">
        <v>245</v>
      </c>
      <c r="AV181">
        <v>245</v>
      </c>
      <c r="AW181">
        <v>245</v>
      </c>
      <c r="AX181">
        <v>245</v>
      </c>
      <c r="AY181">
        <v>245</v>
      </c>
      <c r="AZ181">
        <v>245</v>
      </c>
      <c r="BA181">
        <v>245</v>
      </c>
      <c r="BB181">
        <v>245</v>
      </c>
    </row>
    <row r="182" spans="1:54" hidden="1" x14ac:dyDescent="0.3">
      <c r="A182" t="s">
        <v>188</v>
      </c>
      <c r="B182" t="s">
        <v>163</v>
      </c>
      <c r="C182">
        <v>24.974</v>
      </c>
      <c r="D182">
        <v>101.48699999999999</v>
      </c>
      <c r="E182">
        <v>1</v>
      </c>
      <c r="F182">
        <v>2</v>
      </c>
      <c r="G182">
        <v>5</v>
      </c>
      <c r="H182">
        <v>11</v>
      </c>
      <c r="I182">
        <v>16</v>
      </c>
      <c r="J182">
        <v>26</v>
      </c>
      <c r="K182">
        <v>44</v>
      </c>
      <c r="L182">
        <v>55</v>
      </c>
      <c r="M182">
        <v>70</v>
      </c>
      <c r="N182">
        <v>83</v>
      </c>
      <c r="O182">
        <v>93</v>
      </c>
      <c r="P182">
        <v>105</v>
      </c>
      <c r="Q182">
        <v>117</v>
      </c>
      <c r="R182">
        <v>122</v>
      </c>
      <c r="S182">
        <v>128</v>
      </c>
      <c r="T182">
        <v>133</v>
      </c>
      <c r="U182">
        <v>138</v>
      </c>
      <c r="V182">
        <v>138</v>
      </c>
      <c r="W182">
        <v>141</v>
      </c>
      <c r="X182">
        <v>149</v>
      </c>
      <c r="Y182">
        <v>153</v>
      </c>
      <c r="Z182">
        <v>154</v>
      </c>
      <c r="AA182">
        <v>156</v>
      </c>
      <c r="AB182">
        <v>162</v>
      </c>
      <c r="AC182">
        <v>168</v>
      </c>
      <c r="AD182">
        <v>171</v>
      </c>
      <c r="AE182">
        <v>171</v>
      </c>
      <c r="AF182">
        <v>172</v>
      </c>
      <c r="AG182">
        <v>172</v>
      </c>
      <c r="AH182">
        <v>174</v>
      </c>
      <c r="AI182">
        <v>174</v>
      </c>
      <c r="AJ182">
        <v>174</v>
      </c>
      <c r="AK182">
        <v>174</v>
      </c>
      <c r="AL182">
        <v>174</v>
      </c>
      <c r="AM182">
        <v>174</v>
      </c>
      <c r="AN182">
        <v>174</v>
      </c>
      <c r="AO182">
        <v>174</v>
      </c>
      <c r="AP182">
        <v>174</v>
      </c>
      <c r="AQ182">
        <v>174</v>
      </c>
      <c r="AR182">
        <v>174</v>
      </c>
      <c r="AS182">
        <v>174</v>
      </c>
      <c r="AT182">
        <v>174</v>
      </c>
      <c r="AU182">
        <v>174</v>
      </c>
      <c r="AV182">
        <v>174</v>
      </c>
      <c r="AW182">
        <v>174</v>
      </c>
      <c r="AX182">
        <v>174</v>
      </c>
      <c r="AY182">
        <v>174</v>
      </c>
      <c r="AZ182">
        <v>174</v>
      </c>
      <c r="BA182">
        <v>174</v>
      </c>
      <c r="BB182">
        <v>174</v>
      </c>
    </row>
    <row r="183" spans="1:54" hidden="1" x14ac:dyDescent="0.3">
      <c r="A183" t="s">
        <v>189</v>
      </c>
      <c r="B183" t="s">
        <v>163</v>
      </c>
      <c r="C183">
        <v>19.195900000000002</v>
      </c>
      <c r="D183">
        <v>109.7453</v>
      </c>
      <c r="E183">
        <v>4</v>
      </c>
      <c r="F183">
        <v>5</v>
      </c>
      <c r="G183">
        <v>8</v>
      </c>
      <c r="H183">
        <v>19</v>
      </c>
      <c r="I183">
        <v>22</v>
      </c>
      <c r="J183">
        <v>33</v>
      </c>
      <c r="K183">
        <v>40</v>
      </c>
      <c r="L183">
        <v>43</v>
      </c>
      <c r="M183">
        <v>46</v>
      </c>
      <c r="N183">
        <v>52</v>
      </c>
      <c r="O183">
        <v>62</v>
      </c>
      <c r="P183">
        <v>64</v>
      </c>
      <c r="Q183">
        <v>72</v>
      </c>
      <c r="R183">
        <v>80</v>
      </c>
      <c r="S183">
        <v>99</v>
      </c>
      <c r="T183">
        <v>106</v>
      </c>
      <c r="U183">
        <v>117</v>
      </c>
      <c r="V183">
        <v>124</v>
      </c>
      <c r="W183">
        <v>131</v>
      </c>
      <c r="X183">
        <v>138</v>
      </c>
      <c r="Y183">
        <v>144</v>
      </c>
      <c r="Z183">
        <v>157</v>
      </c>
      <c r="AA183">
        <v>157</v>
      </c>
      <c r="AB183">
        <v>159</v>
      </c>
      <c r="AC183">
        <v>162</v>
      </c>
      <c r="AD183">
        <v>162</v>
      </c>
      <c r="AE183">
        <v>163</v>
      </c>
      <c r="AF183">
        <v>163</v>
      </c>
      <c r="AG183">
        <v>168</v>
      </c>
      <c r="AH183">
        <v>168</v>
      </c>
      <c r="AI183">
        <v>168</v>
      </c>
      <c r="AJ183">
        <v>168</v>
      </c>
      <c r="AK183">
        <v>168</v>
      </c>
      <c r="AL183">
        <v>168</v>
      </c>
      <c r="AM183">
        <v>168</v>
      </c>
      <c r="AN183">
        <v>168</v>
      </c>
      <c r="AO183">
        <v>168</v>
      </c>
      <c r="AP183">
        <v>168</v>
      </c>
      <c r="AQ183">
        <v>168</v>
      </c>
      <c r="AR183">
        <v>168</v>
      </c>
      <c r="AS183">
        <v>168</v>
      </c>
      <c r="AT183">
        <v>168</v>
      </c>
      <c r="AU183">
        <v>168</v>
      </c>
      <c r="AV183">
        <v>168</v>
      </c>
      <c r="AW183">
        <v>168</v>
      </c>
      <c r="AX183">
        <v>168</v>
      </c>
      <c r="AY183">
        <v>168</v>
      </c>
      <c r="AZ183">
        <v>168</v>
      </c>
      <c r="BA183">
        <v>168</v>
      </c>
      <c r="BB183">
        <v>168</v>
      </c>
    </row>
    <row r="184" spans="1:54" hidden="1" x14ac:dyDescent="0.3">
      <c r="A184" t="s">
        <v>190</v>
      </c>
      <c r="B184" t="s">
        <v>163</v>
      </c>
      <c r="C184">
        <v>26.8154</v>
      </c>
      <c r="D184">
        <v>106.87479999999999</v>
      </c>
      <c r="E184">
        <v>1</v>
      </c>
      <c r="F184">
        <v>3</v>
      </c>
      <c r="G184">
        <v>3</v>
      </c>
      <c r="H184">
        <v>4</v>
      </c>
      <c r="I184">
        <v>5</v>
      </c>
      <c r="J184">
        <v>7</v>
      </c>
      <c r="K184">
        <v>9</v>
      </c>
      <c r="L184">
        <v>9</v>
      </c>
      <c r="M184">
        <v>12</v>
      </c>
      <c r="N184">
        <v>29</v>
      </c>
      <c r="O184">
        <v>29</v>
      </c>
      <c r="P184">
        <v>38</v>
      </c>
      <c r="Q184">
        <v>46</v>
      </c>
      <c r="R184">
        <v>58</v>
      </c>
      <c r="S184">
        <v>64</v>
      </c>
      <c r="T184">
        <v>71</v>
      </c>
      <c r="U184">
        <v>81</v>
      </c>
      <c r="V184">
        <v>89</v>
      </c>
      <c r="W184">
        <v>99</v>
      </c>
      <c r="X184">
        <v>109</v>
      </c>
      <c r="Y184">
        <v>127</v>
      </c>
      <c r="Z184">
        <v>133</v>
      </c>
      <c r="AA184">
        <v>135</v>
      </c>
      <c r="AB184">
        <v>140</v>
      </c>
      <c r="AC184">
        <v>143</v>
      </c>
      <c r="AD184">
        <v>144</v>
      </c>
      <c r="AE184">
        <v>146</v>
      </c>
      <c r="AF184">
        <v>146</v>
      </c>
      <c r="AG184">
        <v>146</v>
      </c>
      <c r="AH184">
        <v>146</v>
      </c>
      <c r="AI184">
        <v>146</v>
      </c>
      <c r="AJ184">
        <v>146</v>
      </c>
      <c r="AK184">
        <v>146</v>
      </c>
      <c r="AL184">
        <v>146</v>
      </c>
      <c r="AM184">
        <v>146</v>
      </c>
      <c r="AN184">
        <v>146</v>
      </c>
      <c r="AO184">
        <v>146</v>
      </c>
      <c r="AP184">
        <v>146</v>
      </c>
      <c r="AQ184">
        <v>146</v>
      </c>
      <c r="AR184">
        <v>146</v>
      </c>
      <c r="AS184">
        <v>146</v>
      </c>
      <c r="AT184">
        <v>146</v>
      </c>
      <c r="AU184">
        <v>146</v>
      </c>
      <c r="AV184">
        <v>146</v>
      </c>
      <c r="AW184">
        <v>146</v>
      </c>
      <c r="AX184">
        <v>146</v>
      </c>
      <c r="AY184">
        <v>146</v>
      </c>
      <c r="AZ184">
        <v>146</v>
      </c>
      <c r="BA184">
        <v>146</v>
      </c>
      <c r="BB184">
        <v>146</v>
      </c>
    </row>
    <row r="185" spans="1:54" hidden="1" x14ac:dyDescent="0.3">
      <c r="A185" t="s">
        <v>191</v>
      </c>
      <c r="B185" t="s">
        <v>163</v>
      </c>
      <c r="C185">
        <v>39.305399999999999</v>
      </c>
      <c r="D185">
        <v>117.32299999999999</v>
      </c>
      <c r="E185">
        <v>4</v>
      </c>
      <c r="F185">
        <v>4</v>
      </c>
      <c r="G185">
        <v>8</v>
      </c>
      <c r="H185">
        <v>10</v>
      </c>
      <c r="I185">
        <v>14</v>
      </c>
      <c r="J185">
        <v>23</v>
      </c>
      <c r="K185">
        <v>24</v>
      </c>
      <c r="L185">
        <v>27</v>
      </c>
      <c r="M185">
        <v>31</v>
      </c>
      <c r="N185">
        <v>32</v>
      </c>
      <c r="O185">
        <v>41</v>
      </c>
      <c r="P185">
        <v>48</v>
      </c>
      <c r="Q185">
        <v>60</v>
      </c>
      <c r="R185">
        <v>67</v>
      </c>
      <c r="S185">
        <v>69</v>
      </c>
      <c r="T185">
        <v>79</v>
      </c>
      <c r="U185">
        <v>81</v>
      </c>
      <c r="V185">
        <v>88</v>
      </c>
      <c r="W185">
        <v>91</v>
      </c>
      <c r="X185">
        <v>95</v>
      </c>
      <c r="Y185">
        <v>106</v>
      </c>
      <c r="Z185">
        <v>112</v>
      </c>
      <c r="AA185">
        <v>119</v>
      </c>
      <c r="AB185">
        <v>120</v>
      </c>
      <c r="AC185">
        <v>122</v>
      </c>
      <c r="AD185">
        <v>124</v>
      </c>
      <c r="AE185">
        <v>125</v>
      </c>
      <c r="AF185">
        <v>128</v>
      </c>
      <c r="AG185">
        <v>130</v>
      </c>
      <c r="AH185">
        <v>131</v>
      </c>
      <c r="AI185">
        <v>132</v>
      </c>
      <c r="AJ185">
        <v>135</v>
      </c>
      <c r="AK185">
        <v>135</v>
      </c>
      <c r="AL185">
        <v>135</v>
      </c>
      <c r="AM185">
        <v>135</v>
      </c>
      <c r="AN185">
        <v>135</v>
      </c>
      <c r="AO185">
        <v>136</v>
      </c>
      <c r="AP185">
        <v>136</v>
      </c>
      <c r="AQ185">
        <v>136</v>
      </c>
      <c r="AR185">
        <v>136</v>
      </c>
      <c r="AS185">
        <v>136</v>
      </c>
      <c r="AT185">
        <v>136</v>
      </c>
      <c r="AU185">
        <v>136</v>
      </c>
      <c r="AV185">
        <v>136</v>
      </c>
      <c r="AW185">
        <v>136</v>
      </c>
      <c r="AX185">
        <v>136</v>
      </c>
      <c r="AY185">
        <v>136</v>
      </c>
      <c r="AZ185">
        <v>136</v>
      </c>
      <c r="BA185">
        <v>136</v>
      </c>
      <c r="BB185">
        <v>136</v>
      </c>
    </row>
    <row r="186" spans="1:54" hidden="1" x14ac:dyDescent="0.3">
      <c r="A186" t="s">
        <v>192</v>
      </c>
      <c r="B186" t="s">
        <v>163</v>
      </c>
      <c r="C186">
        <v>37.5777</v>
      </c>
      <c r="D186">
        <v>112.29219999999999</v>
      </c>
      <c r="E186">
        <v>1</v>
      </c>
      <c r="F186">
        <v>1</v>
      </c>
      <c r="G186">
        <v>1</v>
      </c>
      <c r="H186">
        <v>6</v>
      </c>
      <c r="I186">
        <v>9</v>
      </c>
      <c r="J186">
        <v>13</v>
      </c>
      <c r="K186">
        <v>27</v>
      </c>
      <c r="L186">
        <v>27</v>
      </c>
      <c r="M186">
        <v>35</v>
      </c>
      <c r="N186">
        <v>39</v>
      </c>
      <c r="O186">
        <v>47</v>
      </c>
      <c r="P186">
        <v>66</v>
      </c>
      <c r="Q186">
        <v>74</v>
      </c>
      <c r="R186">
        <v>81</v>
      </c>
      <c r="S186">
        <v>81</v>
      </c>
      <c r="T186">
        <v>96</v>
      </c>
      <c r="U186">
        <v>104</v>
      </c>
      <c r="V186">
        <v>115</v>
      </c>
      <c r="W186">
        <v>119</v>
      </c>
      <c r="X186">
        <v>119</v>
      </c>
      <c r="Y186">
        <v>124</v>
      </c>
      <c r="Z186">
        <v>126</v>
      </c>
      <c r="AA186">
        <v>126</v>
      </c>
      <c r="AB186">
        <v>127</v>
      </c>
      <c r="AC186">
        <v>128</v>
      </c>
      <c r="AD186">
        <v>129</v>
      </c>
      <c r="AE186">
        <v>130</v>
      </c>
      <c r="AF186">
        <v>131</v>
      </c>
      <c r="AG186">
        <v>131</v>
      </c>
      <c r="AH186">
        <v>132</v>
      </c>
      <c r="AI186">
        <v>132</v>
      </c>
      <c r="AJ186">
        <v>132</v>
      </c>
      <c r="AK186">
        <v>132</v>
      </c>
      <c r="AL186">
        <v>133</v>
      </c>
      <c r="AM186">
        <v>133</v>
      </c>
      <c r="AN186">
        <v>133</v>
      </c>
      <c r="AO186">
        <v>133</v>
      </c>
      <c r="AP186">
        <v>133</v>
      </c>
      <c r="AQ186">
        <v>133</v>
      </c>
      <c r="AR186">
        <v>133</v>
      </c>
      <c r="AS186">
        <v>133</v>
      </c>
      <c r="AT186">
        <v>133</v>
      </c>
      <c r="AU186">
        <v>133</v>
      </c>
      <c r="AV186">
        <v>133</v>
      </c>
      <c r="AW186">
        <v>133</v>
      </c>
      <c r="AX186">
        <v>133</v>
      </c>
      <c r="AY186">
        <v>133</v>
      </c>
      <c r="AZ186">
        <v>133</v>
      </c>
      <c r="BA186">
        <v>133</v>
      </c>
      <c r="BB186">
        <v>133</v>
      </c>
    </row>
    <row r="187" spans="1:54" hidden="1" x14ac:dyDescent="0.3">
      <c r="A187" t="s">
        <v>193</v>
      </c>
      <c r="B187" t="s">
        <v>163</v>
      </c>
      <c r="C187">
        <v>37.809899999999999</v>
      </c>
      <c r="D187">
        <v>101.0583</v>
      </c>
      <c r="E187">
        <v>0</v>
      </c>
      <c r="F187">
        <v>2</v>
      </c>
      <c r="G187">
        <v>2</v>
      </c>
      <c r="H187">
        <v>4</v>
      </c>
      <c r="I187">
        <v>7</v>
      </c>
      <c r="J187">
        <v>14</v>
      </c>
      <c r="K187">
        <v>19</v>
      </c>
      <c r="L187">
        <v>24</v>
      </c>
      <c r="M187">
        <v>26</v>
      </c>
      <c r="N187">
        <v>29</v>
      </c>
      <c r="O187">
        <v>40</v>
      </c>
      <c r="P187">
        <v>51</v>
      </c>
      <c r="Q187">
        <v>55</v>
      </c>
      <c r="R187">
        <v>57</v>
      </c>
      <c r="S187">
        <v>62</v>
      </c>
      <c r="T187">
        <v>62</v>
      </c>
      <c r="U187">
        <v>67</v>
      </c>
      <c r="V187">
        <v>79</v>
      </c>
      <c r="W187">
        <v>83</v>
      </c>
      <c r="X187">
        <v>83</v>
      </c>
      <c r="Y187">
        <v>86</v>
      </c>
      <c r="Z187">
        <v>87</v>
      </c>
      <c r="AA187">
        <v>90</v>
      </c>
      <c r="AB187">
        <v>90</v>
      </c>
      <c r="AC187">
        <v>90</v>
      </c>
      <c r="AD187">
        <v>90</v>
      </c>
      <c r="AE187">
        <v>91</v>
      </c>
      <c r="AF187">
        <v>91</v>
      </c>
      <c r="AG187">
        <v>91</v>
      </c>
      <c r="AH187">
        <v>91</v>
      </c>
      <c r="AI187">
        <v>91</v>
      </c>
      <c r="AJ187">
        <v>91</v>
      </c>
      <c r="AK187">
        <v>91</v>
      </c>
      <c r="AL187">
        <v>91</v>
      </c>
      <c r="AM187">
        <v>91</v>
      </c>
      <c r="AN187">
        <v>91</v>
      </c>
      <c r="AO187">
        <v>91</v>
      </c>
      <c r="AP187">
        <v>91</v>
      </c>
      <c r="AQ187">
        <v>91</v>
      </c>
      <c r="AR187">
        <v>91</v>
      </c>
      <c r="AS187">
        <v>91</v>
      </c>
      <c r="AT187">
        <v>91</v>
      </c>
      <c r="AU187">
        <v>91</v>
      </c>
      <c r="AV187">
        <v>102</v>
      </c>
      <c r="AW187">
        <v>119</v>
      </c>
      <c r="AX187">
        <v>120</v>
      </c>
      <c r="AY187">
        <v>124</v>
      </c>
      <c r="AZ187">
        <v>124</v>
      </c>
      <c r="BA187">
        <v>125</v>
      </c>
      <c r="BB187">
        <v>127</v>
      </c>
    </row>
    <row r="188" spans="1:54" hidden="1" x14ac:dyDescent="0.3">
      <c r="A188" t="s">
        <v>194</v>
      </c>
      <c r="B188" t="s">
        <v>163</v>
      </c>
      <c r="C188">
        <v>22.3</v>
      </c>
      <c r="D188">
        <v>114.2</v>
      </c>
      <c r="E188">
        <v>0</v>
      </c>
      <c r="F188">
        <v>2</v>
      </c>
      <c r="G188">
        <v>2</v>
      </c>
      <c r="H188">
        <v>5</v>
      </c>
      <c r="I188">
        <v>8</v>
      </c>
      <c r="J188">
        <v>8</v>
      </c>
      <c r="K188">
        <v>8</v>
      </c>
      <c r="L188">
        <v>10</v>
      </c>
      <c r="M188">
        <v>10</v>
      </c>
      <c r="N188">
        <v>12</v>
      </c>
      <c r="O188">
        <v>13</v>
      </c>
      <c r="P188">
        <v>15</v>
      </c>
      <c r="Q188">
        <v>15</v>
      </c>
      <c r="R188">
        <v>17</v>
      </c>
      <c r="S188">
        <v>21</v>
      </c>
      <c r="T188">
        <v>24</v>
      </c>
      <c r="U188">
        <v>25</v>
      </c>
      <c r="V188">
        <v>26</v>
      </c>
      <c r="W188">
        <v>29</v>
      </c>
      <c r="X188">
        <v>38</v>
      </c>
      <c r="Y188">
        <v>49</v>
      </c>
      <c r="Z188">
        <v>50</v>
      </c>
      <c r="AA188">
        <v>53</v>
      </c>
      <c r="AB188">
        <v>56</v>
      </c>
      <c r="AC188">
        <v>56</v>
      </c>
      <c r="AD188">
        <v>57</v>
      </c>
      <c r="AE188">
        <v>60</v>
      </c>
      <c r="AF188">
        <v>62</v>
      </c>
      <c r="AG188">
        <v>63</v>
      </c>
      <c r="AH188">
        <v>68</v>
      </c>
      <c r="AI188">
        <v>68</v>
      </c>
      <c r="AJ188">
        <v>69</v>
      </c>
      <c r="AK188">
        <v>74</v>
      </c>
      <c r="AL188">
        <v>79</v>
      </c>
      <c r="AM188">
        <v>84</v>
      </c>
      <c r="AN188">
        <v>91</v>
      </c>
      <c r="AO188">
        <v>92</v>
      </c>
      <c r="AP188">
        <v>94</v>
      </c>
      <c r="AQ188">
        <v>95</v>
      </c>
      <c r="AR188">
        <v>96</v>
      </c>
      <c r="AS188">
        <v>100</v>
      </c>
      <c r="AT188">
        <v>100</v>
      </c>
      <c r="AU188">
        <v>105</v>
      </c>
      <c r="AV188">
        <v>105</v>
      </c>
      <c r="AW188">
        <v>107</v>
      </c>
      <c r="AX188">
        <v>108</v>
      </c>
      <c r="AY188">
        <v>114</v>
      </c>
      <c r="AZ188">
        <v>115</v>
      </c>
      <c r="BA188">
        <v>120</v>
      </c>
      <c r="BB188">
        <v>126</v>
      </c>
    </row>
    <row r="189" spans="1:54" hidden="1" x14ac:dyDescent="0.3">
      <c r="A189" t="s">
        <v>195</v>
      </c>
      <c r="B189" t="s">
        <v>163</v>
      </c>
      <c r="C189">
        <v>41.2956</v>
      </c>
      <c r="D189">
        <v>122.60850000000001</v>
      </c>
      <c r="E189">
        <v>2</v>
      </c>
      <c r="F189">
        <v>3</v>
      </c>
      <c r="G189">
        <v>4</v>
      </c>
      <c r="H189">
        <v>17</v>
      </c>
      <c r="I189">
        <v>21</v>
      </c>
      <c r="J189">
        <v>27</v>
      </c>
      <c r="K189">
        <v>34</v>
      </c>
      <c r="L189">
        <v>39</v>
      </c>
      <c r="M189">
        <v>41</v>
      </c>
      <c r="N189">
        <v>48</v>
      </c>
      <c r="O189">
        <v>64</v>
      </c>
      <c r="P189">
        <v>70</v>
      </c>
      <c r="Q189">
        <v>74</v>
      </c>
      <c r="R189">
        <v>81</v>
      </c>
      <c r="S189">
        <v>89</v>
      </c>
      <c r="T189">
        <v>94</v>
      </c>
      <c r="U189">
        <v>99</v>
      </c>
      <c r="V189">
        <v>105</v>
      </c>
      <c r="W189">
        <v>107</v>
      </c>
      <c r="X189">
        <v>108</v>
      </c>
      <c r="Y189">
        <v>111</v>
      </c>
      <c r="Z189">
        <v>116</v>
      </c>
      <c r="AA189">
        <v>117</v>
      </c>
      <c r="AB189">
        <v>119</v>
      </c>
      <c r="AC189">
        <v>119</v>
      </c>
      <c r="AD189">
        <v>121</v>
      </c>
      <c r="AE189">
        <v>121</v>
      </c>
      <c r="AF189">
        <v>121</v>
      </c>
      <c r="AG189">
        <v>121</v>
      </c>
      <c r="AH189">
        <v>121</v>
      </c>
      <c r="AI189">
        <v>121</v>
      </c>
      <c r="AJ189">
        <v>121</v>
      </c>
      <c r="AK189">
        <v>121</v>
      </c>
      <c r="AL189">
        <v>121</v>
      </c>
      <c r="AM189">
        <v>121</v>
      </c>
      <c r="AN189">
        <v>121</v>
      </c>
      <c r="AO189">
        <v>121</v>
      </c>
      <c r="AP189">
        <v>121</v>
      </c>
      <c r="AQ189">
        <v>121</v>
      </c>
      <c r="AR189">
        <v>122</v>
      </c>
      <c r="AS189">
        <v>122</v>
      </c>
      <c r="AT189">
        <v>125</v>
      </c>
      <c r="AU189">
        <v>125</v>
      </c>
      <c r="AV189">
        <v>125</v>
      </c>
      <c r="AW189">
        <v>125</v>
      </c>
      <c r="AX189">
        <v>125</v>
      </c>
      <c r="AY189">
        <v>125</v>
      </c>
      <c r="AZ189">
        <v>125</v>
      </c>
      <c r="BA189">
        <v>125</v>
      </c>
      <c r="BB189">
        <v>125</v>
      </c>
    </row>
    <row r="190" spans="1:54" hidden="1" x14ac:dyDescent="0.3">
      <c r="A190" t="s">
        <v>196</v>
      </c>
      <c r="B190" t="s">
        <v>163</v>
      </c>
      <c r="C190">
        <v>43.6661</v>
      </c>
      <c r="D190">
        <v>126.1923</v>
      </c>
      <c r="E190">
        <v>0</v>
      </c>
      <c r="F190">
        <v>1</v>
      </c>
      <c r="G190">
        <v>3</v>
      </c>
      <c r="H190">
        <v>4</v>
      </c>
      <c r="I190">
        <v>4</v>
      </c>
      <c r="J190">
        <v>6</v>
      </c>
      <c r="K190">
        <v>8</v>
      </c>
      <c r="L190">
        <v>9</v>
      </c>
      <c r="M190">
        <v>14</v>
      </c>
      <c r="N190">
        <v>14</v>
      </c>
      <c r="O190">
        <v>17</v>
      </c>
      <c r="P190">
        <v>23</v>
      </c>
      <c r="Q190">
        <v>31</v>
      </c>
      <c r="R190">
        <v>42</v>
      </c>
      <c r="S190">
        <v>54</v>
      </c>
      <c r="T190">
        <v>59</v>
      </c>
      <c r="U190">
        <v>65</v>
      </c>
      <c r="V190">
        <v>69</v>
      </c>
      <c r="W190">
        <v>78</v>
      </c>
      <c r="X190">
        <v>80</v>
      </c>
      <c r="Y190">
        <v>81</v>
      </c>
      <c r="Z190">
        <v>83</v>
      </c>
      <c r="AA190">
        <v>84</v>
      </c>
      <c r="AB190">
        <v>86</v>
      </c>
      <c r="AC190">
        <v>88</v>
      </c>
      <c r="AD190">
        <v>89</v>
      </c>
      <c r="AE190">
        <v>89</v>
      </c>
      <c r="AF190">
        <v>89</v>
      </c>
      <c r="AG190">
        <v>90</v>
      </c>
      <c r="AH190">
        <v>91</v>
      </c>
      <c r="AI190">
        <v>91</v>
      </c>
      <c r="AJ190">
        <v>91</v>
      </c>
      <c r="AK190">
        <v>91</v>
      </c>
      <c r="AL190">
        <v>93</v>
      </c>
      <c r="AM190">
        <v>93</v>
      </c>
      <c r="AN190">
        <v>93</v>
      </c>
      <c r="AO190">
        <v>93</v>
      </c>
      <c r="AP190">
        <v>93</v>
      </c>
      <c r="AQ190">
        <v>93</v>
      </c>
      <c r="AR190">
        <v>93</v>
      </c>
      <c r="AS190">
        <v>93</v>
      </c>
      <c r="AT190">
        <v>93</v>
      </c>
      <c r="AU190">
        <v>93</v>
      </c>
      <c r="AV190">
        <v>93</v>
      </c>
      <c r="AW190">
        <v>93</v>
      </c>
      <c r="AX190">
        <v>93</v>
      </c>
      <c r="AY190">
        <v>93</v>
      </c>
      <c r="AZ190">
        <v>93</v>
      </c>
      <c r="BA190">
        <v>93</v>
      </c>
      <c r="BB190">
        <v>93</v>
      </c>
    </row>
    <row r="191" spans="1:54" hidden="1" x14ac:dyDescent="0.3">
      <c r="B191" t="s">
        <v>197</v>
      </c>
      <c r="C191">
        <v>49.817500000000003</v>
      </c>
      <c r="D191">
        <v>15.473000000000001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3</v>
      </c>
      <c r="AS191">
        <v>3</v>
      </c>
      <c r="AT191">
        <v>5</v>
      </c>
      <c r="AU191">
        <v>8</v>
      </c>
      <c r="AV191">
        <v>12</v>
      </c>
      <c r="AW191">
        <v>18</v>
      </c>
      <c r="AX191">
        <v>19</v>
      </c>
      <c r="AY191">
        <v>31</v>
      </c>
      <c r="AZ191">
        <v>31</v>
      </c>
      <c r="BA191">
        <v>41</v>
      </c>
      <c r="BB191">
        <v>91</v>
      </c>
    </row>
    <row r="192" spans="1:54" hidden="1" x14ac:dyDescent="0.3">
      <c r="A192" t="s">
        <v>198</v>
      </c>
      <c r="B192" t="s">
        <v>163</v>
      </c>
      <c r="C192">
        <v>41.112900000000003</v>
      </c>
      <c r="D192">
        <v>85.240099999999998</v>
      </c>
      <c r="E192">
        <v>0</v>
      </c>
      <c r="F192">
        <v>2</v>
      </c>
      <c r="G192">
        <v>2</v>
      </c>
      <c r="H192">
        <v>3</v>
      </c>
      <c r="I192">
        <v>4</v>
      </c>
      <c r="J192">
        <v>5</v>
      </c>
      <c r="K192">
        <v>10</v>
      </c>
      <c r="L192">
        <v>13</v>
      </c>
      <c r="M192">
        <v>14</v>
      </c>
      <c r="N192">
        <v>17</v>
      </c>
      <c r="O192">
        <v>18</v>
      </c>
      <c r="P192">
        <v>21</v>
      </c>
      <c r="Q192">
        <v>24</v>
      </c>
      <c r="R192">
        <v>29</v>
      </c>
      <c r="S192">
        <v>32</v>
      </c>
      <c r="T192">
        <v>36</v>
      </c>
      <c r="U192">
        <v>39</v>
      </c>
      <c r="V192">
        <v>42</v>
      </c>
      <c r="W192">
        <v>45</v>
      </c>
      <c r="X192">
        <v>49</v>
      </c>
      <c r="Y192">
        <v>55</v>
      </c>
      <c r="Z192">
        <v>59</v>
      </c>
      <c r="AA192">
        <v>63</v>
      </c>
      <c r="AB192">
        <v>65</v>
      </c>
      <c r="AC192">
        <v>70</v>
      </c>
      <c r="AD192">
        <v>71</v>
      </c>
      <c r="AE192">
        <v>75</v>
      </c>
      <c r="AF192">
        <v>76</v>
      </c>
      <c r="AG192">
        <v>76</v>
      </c>
      <c r="AH192">
        <v>76</v>
      </c>
      <c r="AI192">
        <v>76</v>
      </c>
      <c r="AJ192">
        <v>76</v>
      </c>
      <c r="AK192">
        <v>76</v>
      </c>
      <c r="AL192">
        <v>76</v>
      </c>
      <c r="AM192">
        <v>76</v>
      </c>
      <c r="AN192">
        <v>76</v>
      </c>
      <c r="AO192">
        <v>76</v>
      </c>
      <c r="AP192">
        <v>76</v>
      </c>
      <c r="AQ192">
        <v>76</v>
      </c>
      <c r="AR192">
        <v>76</v>
      </c>
      <c r="AS192">
        <v>76</v>
      </c>
      <c r="AT192">
        <v>76</v>
      </c>
      <c r="AU192">
        <v>76</v>
      </c>
      <c r="AV192">
        <v>76</v>
      </c>
      <c r="AW192">
        <v>76</v>
      </c>
      <c r="AX192">
        <v>76</v>
      </c>
      <c r="AY192">
        <v>76</v>
      </c>
      <c r="AZ192">
        <v>76</v>
      </c>
      <c r="BA192">
        <v>76</v>
      </c>
      <c r="BB192">
        <v>76</v>
      </c>
    </row>
    <row r="193" spans="1:54" hidden="1" x14ac:dyDescent="0.3">
      <c r="A193" t="s">
        <v>199</v>
      </c>
      <c r="B193" t="s">
        <v>163</v>
      </c>
      <c r="C193">
        <v>44.093499999999999</v>
      </c>
      <c r="D193">
        <v>113.9448</v>
      </c>
      <c r="E193">
        <v>0</v>
      </c>
      <c r="F193">
        <v>0</v>
      </c>
      <c r="G193">
        <v>1</v>
      </c>
      <c r="H193">
        <v>7</v>
      </c>
      <c r="I193">
        <v>7</v>
      </c>
      <c r="J193">
        <v>11</v>
      </c>
      <c r="K193">
        <v>15</v>
      </c>
      <c r="L193">
        <v>16</v>
      </c>
      <c r="M193">
        <v>19</v>
      </c>
      <c r="N193">
        <v>20</v>
      </c>
      <c r="O193">
        <v>23</v>
      </c>
      <c r="P193">
        <v>27</v>
      </c>
      <c r="Q193">
        <v>34</v>
      </c>
      <c r="R193">
        <v>35</v>
      </c>
      <c r="S193">
        <v>42</v>
      </c>
      <c r="T193">
        <v>46</v>
      </c>
      <c r="U193">
        <v>50</v>
      </c>
      <c r="V193">
        <v>52</v>
      </c>
      <c r="W193">
        <v>54</v>
      </c>
      <c r="X193">
        <v>58</v>
      </c>
      <c r="Y193">
        <v>58</v>
      </c>
      <c r="Z193">
        <v>60</v>
      </c>
      <c r="AA193">
        <v>61</v>
      </c>
      <c r="AB193">
        <v>65</v>
      </c>
      <c r="AC193">
        <v>68</v>
      </c>
      <c r="AD193">
        <v>70</v>
      </c>
      <c r="AE193">
        <v>72</v>
      </c>
      <c r="AF193">
        <v>73</v>
      </c>
      <c r="AG193">
        <v>75</v>
      </c>
      <c r="AH193">
        <v>75</v>
      </c>
      <c r="AI193">
        <v>75</v>
      </c>
      <c r="AJ193">
        <v>75</v>
      </c>
      <c r="AK193">
        <v>75</v>
      </c>
      <c r="AL193">
        <v>75</v>
      </c>
      <c r="AM193">
        <v>75</v>
      </c>
      <c r="AN193">
        <v>75</v>
      </c>
      <c r="AO193">
        <v>75</v>
      </c>
      <c r="AP193">
        <v>75</v>
      </c>
      <c r="AQ193">
        <v>75</v>
      </c>
      <c r="AR193">
        <v>75</v>
      </c>
      <c r="AS193">
        <v>75</v>
      </c>
      <c r="AT193">
        <v>75</v>
      </c>
      <c r="AU193">
        <v>75</v>
      </c>
      <c r="AV193">
        <v>75</v>
      </c>
      <c r="AW193">
        <v>75</v>
      </c>
      <c r="AX193">
        <v>75</v>
      </c>
      <c r="AY193">
        <v>75</v>
      </c>
      <c r="AZ193">
        <v>75</v>
      </c>
      <c r="BA193">
        <v>75</v>
      </c>
      <c r="BB193">
        <v>75</v>
      </c>
    </row>
    <row r="194" spans="1:54" hidden="1" x14ac:dyDescent="0.3">
      <c r="A194" t="s">
        <v>200</v>
      </c>
      <c r="B194" t="s">
        <v>163</v>
      </c>
      <c r="C194">
        <v>37.269199999999998</v>
      </c>
      <c r="D194">
        <v>106.16549999999999</v>
      </c>
      <c r="E194">
        <v>1</v>
      </c>
      <c r="F194">
        <v>1</v>
      </c>
      <c r="G194">
        <v>2</v>
      </c>
      <c r="H194">
        <v>3</v>
      </c>
      <c r="I194">
        <v>4</v>
      </c>
      <c r="J194">
        <v>7</v>
      </c>
      <c r="K194">
        <v>11</v>
      </c>
      <c r="L194">
        <v>12</v>
      </c>
      <c r="M194">
        <v>17</v>
      </c>
      <c r="N194">
        <v>21</v>
      </c>
      <c r="O194">
        <v>26</v>
      </c>
      <c r="P194">
        <v>28</v>
      </c>
      <c r="Q194">
        <v>31</v>
      </c>
      <c r="R194">
        <v>34</v>
      </c>
      <c r="S194">
        <v>34</v>
      </c>
      <c r="T194">
        <v>40</v>
      </c>
      <c r="U194">
        <v>43</v>
      </c>
      <c r="V194">
        <v>45</v>
      </c>
      <c r="W194">
        <v>45</v>
      </c>
      <c r="X194">
        <v>49</v>
      </c>
      <c r="Y194">
        <v>53</v>
      </c>
      <c r="Z194">
        <v>58</v>
      </c>
      <c r="AA194">
        <v>64</v>
      </c>
      <c r="AB194">
        <v>67</v>
      </c>
      <c r="AC194">
        <v>70</v>
      </c>
      <c r="AD194">
        <v>70</v>
      </c>
      <c r="AE194">
        <v>70</v>
      </c>
      <c r="AF194">
        <v>70</v>
      </c>
      <c r="AG194">
        <v>71</v>
      </c>
      <c r="AH194">
        <v>71</v>
      </c>
      <c r="AI194">
        <v>71</v>
      </c>
      <c r="AJ194">
        <v>71</v>
      </c>
      <c r="AK194">
        <v>71</v>
      </c>
      <c r="AL194">
        <v>71</v>
      </c>
      <c r="AM194">
        <v>71</v>
      </c>
      <c r="AN194">
        <v>71</v>
      </c>
      <c r="AO194">
        <v>72</v>
      </c>
      <c r="AP194">
        <v>72</v>
      </c>
      <c r="AQ194">
        <v>73</v>
      </c>
      <c r="AR194">
        <v>73</v>
      </c>
      <c r="AS194">
        <v>74</v>
      </c>
      <c r="AT194">
        <v>74</v>
      </c>
      <c r="AU194">
        <v>75</v>
      </c>
      <c r="AV194">
        <v>75</v>
      </c>
      <c r="AW194">
        <v>75</v>
      </c>
      <c r="AX194">
        <v>75</v>
      </c>
      <c r="AY194">
        <v>75</v>
      </c>
      <c r="AZ194">
        <v>75</v>
      </c>
      <c r="BA194">
        <v>75</v>
      </c>
      <c r="BB194">
        <v>75</v>
      </c>
    </row>
    <row r="195" spans="1:54" hidden="1" x14ac:dyDescent="0.3">
      <c r="B195" t="s">
        <v>201</v>
      </c>
      <c r="C195">
        <v>23.7</v>
      </c>
      <c r="D195">
        <v>121</v>
      </c>
      <c r="E195">
        <v>1</v>
      </c>
      <c r="F195">
        <v>1</v>
      </c>
      <c r="G195">
        <v>3</v>
      </c>
      <c r="H195">
        <v>3</v>
      </c>
      <c r="I195">
        <v>4</v>
      </c>
      <c r="J195">
        <v>5</v>
      </c>
      <c r="K195">
        <v>8</v>
      </c>
      <c r="L195">
        <v>8</v>
      </c>
      <c r="M195">
        <v>9</v>
      </c>
      <c r="N195">
        <v>10</v>
      </c>
      <c r="O195">
        <v>10</v>
      </c>
      <c r="P195">
        <v>10</v>
      </c>
      <c r="Q195">
        <v>10</v>
      </c>
      <c r="R195">
        <v>11</v>
      </c>
      <c r="S195">
        <v>11</v>
      </c>
      <c r="T195">
        <v>16</v>
      </c>
      <c r="U195">
        <v>16</v>
      </c>
      <c r="V195">
        <v>17</v>
      </c>
      <c r="W195">
        <v>18</v>
      </c>
      <c r="X195">
        <v>18</v>
      </c>
      <c r="Y195">
        <v>18</v>
      </c>
      <c r="Z195">
        <v>18</v>
      </c>
      <c r="AA195">
        <v>18</v>
      </c>
      <c r="AB195">
        <v>18</v>
      </c>
      <c r="AC195">
        <v>18</v>
      </c>
      <c r="AD195">
        <v>20</v>
      </c>
      <c r="AE195">
        <v>22</v>
      </c>
      <c r="AF195">
        <v>22</v>
      </c>
      <c r="AG195">
        <v>23</v>
      </c>
      <c r="AH195">
        <v>24</v>
      </c>
      <c r="AI195">
        <v>26</v>
      </c>
      <c r="AJ195">
        <v>26</v>
      </c>
      <c r="AK195">
        <v>28</v>
      </c>
      <c r="AL195">
        <v>30</v>
      </c>
      <c r="AM195">
        <v>31</v>
      </c>
      <c r="AN195">
        <v>32</v>
      </c>
      <c r="AO195">
        <v>32</v>
      </c>
      <c r="AP195">
        <v>34</v>
      </c>
      <c r="AQ195">
        <v>39</v>
      </c>
      <c r="AR195">
        <v>40</v>
      </c>
      <c r="AS195">
        <v>41</v>
      </c>
      <c r="AT195">
        <v>42</v>
      </c>
      <c r="AU195">
        <v>42</v>
      </c>
      <c r="AV195">
        <v>44</v>
      </c>
      <c r="AW195">
        <v>45</v>
      </c>
      <c r="AX195">
        <v>45</v>
      </c>
      <c r="AY195">
        <v>45</v>
      </c>
      <c r="AZ195">
        <v>45</v>
      </c>
      <c r="BA195">
        <v>47</v>
      </c>
      <c r="BB195">
        <v>48</v>
      </c>
    </row>
    <row r="196" spans="1:54" hidden="1" x14ac:dyDescent="0.3">
      <c r="B196" t="s">
        <v>202</v>
      </c>
      <c r="C196">
        <v>16</v>
      </c>
      <c r="D196">
        <v>108</v>
      </c>
      <c r="E196">
        <v>0</v>
      </c>
      <c r="F196">
        <v>2</v>
      </c>
      <c r="G196">
        <v>2</v>
      </c>
      <c r="H196">
        <v>2</v>
      </c>
      <c r="I196">
        <v>2</v>
      </c>
      <c r="J196">
        <v>2</v>
      </c>
      <c r="K196">
        <v>2</v>
      </c>
      <c r="L196">
        <v>2</v>
      </c>
      <c r="M196">
        <v>2</v>
      </c>
      <c r="N196">
        <v>2</v>
      </c>
      <c r="O196">
        <v>6</v>
      </c>
      <c r="P196">
        <v>6</v>
      </c>
      <c r="Q196">
        <v>8</v>
      </c>
      <c r="R196">
        <v>8</v>
      </c>
      <c r="S196">
        <v>8</v>
      </c>
      <c r="T196">
        <v>10</v>
      </c>
      <c r="U196">
        <v>10</v>
      </c>
      <c r="V196">
        <v>13</v>
      </c>
      <c r="W196">
        <v>13</v>
      </c>
      <c r="X196">
        <v>14</v>
      </c>
      <c r="Y196">
        <v>15</v>
      </c>
      <c r="Z196">
        <v>15</v>
      </c>
      <c r="AA196">
        <v>16</v>
      </c>
      <c r="AB196">
        <v>16</v>
      </c>
      <c r="AC196">
        <v>16</v>
      </c>
      <c r="AD196">
        <v>16</v>
      </c>
      <c r="AE196">
        <v>16</v>
      </c>
      <c r="AF196">
        <v>16</v>
      </c>
      <c r="AG196">
        <v>16</v>
      </c>
      <c r="AH196">
        <v>16</v>
      </c>
      <c r="AI196">
        <v>16</v>
      </c>
      <c r="AJ196">
        <v>16</v>
      </c>
      <c r="AK196">
        <v>16</v>
      </c>
      <c r="AL196">
        <v>16</v>
      </c>
      <c r="AM196">
        <v>16</v>
      </c>
      <c r="AN196">
        <v>16</v>
      </c>
      <c r="AO196">
        <v>16</v>
      </c>
      <c r="AP196">
        <v>16</v>
      </c>
      <c r="AQ196">
        <v>16</v>
      </c>
      <c r="AR196">
        <v>16</v>
      </c>
      <c r="AS196">
        <v>16</v>
      </c>
      <c r="AT196">
        <v>16</v>
      </c>
      <c r="AU196">
        <v>16</v>
      </c>
      <c r="AV196">
        <v>16</v>
      </c>
      <c r="AW196">
        <v>16</v>
      </c>
      <c r="AX196">
        <v>18</v>
      </c>
      <c r="AY196">
        <v>30</v>
      </c>
      <c r="AZ196">
        <v>30</v>
      </c>
      <c r="BA196">
        <v>31</v>
      </c>
      <c r="BB196">
        <v>38</v>
      </c>
    </row>
    <row r="197" spans="1:54" hidden="1" x14ac:dyDescent="0.3">
      <c r="B197" t="s">
        <v>203</v>
      </c>
      <c r="C197">
        <v>60</v>
      </c>
      <c r="D197">
        <v>90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2</v>
      </c>
      <c r="O197">
        <v>2</v>
      </c>
      <c r="P197">
        <v>2</v>
      </c>
      <c r="Q197">
        <v>2</v>
      </c>
      <c r="R197">
        <v>2</v>
      </c>
      <c r="S197">
        <v>2</v>
      </c>
      <c r="T197">
        <v>2</v>
      </c>
      <c r="U197">
        <v>2</v>
      </c>
      <c r="V197">
        <v>2</v>
      </c>
      <c r="W197">
        <v>2</v>
      </c>
      <c r="X197">
        <v>2</v>
      </c>
      <c r="Y197">
        <v>2</v>
      </c>
      <c r="Z197">
        <v>2</v>
      </c>
      <c r="AA197">
        <v>2</v>
      </c>
      <c r="AB197">
        <v>2</v>
      </c>
      <c r="AC197">
        <v>2</v>
      </c>
      <c r="AD197">
        <v>2</v>
      </c>
      <c r="AE197">
        <v>2</v>
      </c>
      <c r="AF197">
        <v>2</v>
      </c>
      <c r="AG197">
        <v>2</v>
      </c>
      <c r="AH197">
        <v>2</v>
      </c>
      <c r="AI197">
        <v>2</v>
      </c>
      <c r="AJ197">
        <v>2</v>
      </c>
      <c r="AK197">
        <v>2</v>
      </c>
      <c r="AL197">
        <v>2</v>
      </c>
      <c r="AM197">
        <v>2</v>
      </c>
      <c r="AN197">
        <v>2</v>
      </c>
      <c r="AO197">
        <v>2</v>
      </c>
      <c r="AP197">
        <v>2</v>
      </c>
      <c r="AQ197">
        <v>2</v>
      </c>
      <c r="AR197">
        <v>2</v>
      </c>
      <c r="AS197">
        <v>3</v>
      </c>
      <c r="AT197">
        <v>3</v>
      </c>
      <c r="AU197">
        <v>3</v>
      </c>
      <c r="AV197">
        <v>4</v>
      </c>
      <c r="AW197">
        <v>13</v>
      </c>
      <c r="AX197">
        <v>13</v>
      </c>
      <c r="AY197">
        <v>17</v>
      </c>
      <c r="AZ197">
        <v>17</v>
      </c>
      <c r="BA197">
        <v>20</v>
      </c>
      <c r="BB197">
        <v>20</v>
      </c>
    </row>
    <row r="198" spans="1:54" hidden="1" x14ac:dyDescent="0.3">
      <c r="A198" t="s">
        <v>204</v>
      </c>
      <c r="B198" t="s">
        <v>163</v>
      </c>
      <c r="C198">
        <v>35.745199999999997</v>
      </c>
      <c r="D198">
        <v>95.995599999999996</v>
      </c>
      <c r="E198">
        <v>0</v>
      </c>
      <c r="F198">
        <v>0</v>
      </c>
      <c r="G198">
        <v>0</v>
      </c>
      <c r="H198">
        <v>1</v>
      </c>
      <c r="I198">
        <v>1</v>
      </c>
      <c r="J198">
        <v>6</v>
      </c>
      <c r="K198">
        <v>6</v>
      </c>
      <c r="L198">
        <v>6</v>
      </c>
      <c r="M198">
        <v>8</v>
      </c>
      <c r="N198">
        <v>8</v>
      </c>
      <c r="O198">
        <v>9</v>
      </c>
      <c r="P198">
        <v>11</v>
      </c>
      <c r="Q198">
        <v>13</v>
      </c>
      <c r="R198">
        <v>15</v>
      </c>
      <c r="S198">
        <v>17</v>
      </c>
      <c r="T198">
        <v>18</v>
      </c>
      <c r="U198">
        <v>18</v>
      </c>
      <c r="V198">
        <v>18</v>
      </c>
      <c r="W198">
        <v>18</v>
      </c>
      <c r="X198">
        <v>18</v>
      </c>
      <c r="Y198">
        <v>18</v>
      </c>
      <c r="Z198">
        <v>18</v>
      </c>
      <c r="AA198">
        <v>18</v>
      </c>
      <c r="AB198">
        <v>18</v>
      </c>
      <c r="AC198">
        <v>18</v>
      </c>
      <c r="AD198">
        <v>18</v>
      </c>
      <c r="AE198">
        <v>18</v>
      </c>
      <c r="AF198">
        <v>18</v>
      </c>
      <c r="AG198">
        <v>18</v>
      </c>
      <c r="AH198">
        <v>18</v>
      </c>
      <c r="AI198">
        <v>18</v>
      </c>
      <c r="AJ198">
        <v>18</v>
      </c>
      <c r="AK198">
        <v>18</v>
      </c>
      <c r="AL198">
        <v>18</v>
      </c>
      <c r="AM198">
        <v>18</v>
      </c>
      <c r="AN198">
        <v>18</v>
      </c>
      <c r="AO198">
        <v>18</v>
      </c>
      <c r="AP198">
        <v>18</v>
      </c>
      <c r="AQ198">
        <v>18</v>
      </c>
      <c r="AR198">
        <v>18</v>
      </c>
      <c r="AS198">
        <v>18</v>
      </c>
      <c r="AT198">
        <v>18</v>
      </c>
      <c r="AU198">
        <v>18</v>
      </c>
      <c r="AV198">
        <v>18</v>
      </c>
      <c r="AW198">
        <v>18</v>
      </c>
      <c r="AX198">
        <v>18</v>
      </c>
      <c r="AY198">
        <v>18</v>
      </c>
      <c r="AZ198">
        <v>18</v>
      </c>
      <c r="BA198">
        <v>18</v>
      </c>
      <c r="BB198">
        <v>18</v>
      </c>
    </row>
    <row r="199" spans="1:54" hidden="1" x14ac:dyDescent="0.3">
      <c r="A199" t="s">
        <v>205</v>
      </c>
      <c r="B199" t="s">
        <v>163</v>
      </c>
      <c r="C199">
        <v>22.166699999999999</v>
      </c>
      <c r="D199">
        <v>113.55</v>
      </c>
      <c r="E199">
        <v>1</v>
      </c>
      <c r="F199">
        <v>2</v>
      </c>
      <c r="G199">
        <v>2</v>
      </c>
      <c r="H199">
        <v>2</v>
      </c>
      <c r="I199">
        <v>5</v>
      </c>
      <c r="J199">
        <v>6</v>
      </c>
      <c r="K199">
        <v>7</v>
      </c>
      <c r="L199">
        <v>7</v>
      </c>
      <c r="M199">
        <v>7</v>
      </c>
      <c r="N199">
        <v>7</v>
      </c>
      <c r="O199">
        <v>7</v>
      </c>
      <c r="P199">
        <v>8</v>
      </c>
      <c r="Q199">
        <v>8</v>
      </c>
      <c r="R199">
        <v>10</v>
      </c>
      <c r="S199">
        <v>10</v>
      </c>
      <c r="T199">
        <v>10</v>
      </c>
      <c r="U199">
        <v>10</v>
      </c>
      <c r="V199">
        <v>10</v>
      </c>
      <c r="W199">
        <v>10</v>
      </c>
      <c r="X199">
        <v>10</v>
      </c>
      <c r="Y199">
        <v>10</v>
      </c>
      <c r="Z199">
        <v>10</v>
      </c>
      <c r="AA199">
        <v>10</v>
      </c>
      <c r="AB199">
        <v>10</v>
      </c>
      <c r="AC199">
        <v>10</v>
      </c>
      <c r="AD199">
        <v>10</v>
      </c>
      <c r="AE199">
        <v>10</v>
      </c>
      <c r="AF199">
        <v>10</v>
      </c>
      <c r="AG199">
        <v>10</v>
      </c>
      <c r="AH199">
        <v>10</v>
      </c>
      <c r="AI199">
        <v>10</v>
      </c>
      <c r="AJ199">
        <v>10</v>
      </c>
      <c r="AK199">
        <v>10</v>
      </c>
      <c r="AL199">
        <v>10</v>
      </c>
      <c r="AM199">
        <v>10</v>
      </c>
      <c r="AN199">
        <v>10</v>
      </c>
      <c r="AO199">
        <v>10</v>
      </c>
      <c r="AP199">
        <v>10</v>
      </c>
      <c r="AQ199">
        <v>10</v>
      </c>
      <c r="AR199">
        <v>10</v>
      </c>
      <c r="AS199">
        <v>10</v>
      </c>
      <c r="AT199">
        <v>10</v>
      </c>
      <c r="AU199">
        <v>10</v>
      </c>
      <c r="AV199">
        <v>10</v>
      </c>
      <c r="AW199">
        <v>10</v>
      </c>
      <c r="AX199">
        <v>10</v>
      </c>
      <c r="AY199">
        <v>10</v>
      </c>
      <c r="AZ199">
        <v>10</v>
      </c>
      <c r="BA199">
        <v>10</v>
      </c>
      <c r="BB199">
        <v>10</v>
      </c>
    </row>
    <row r="200" spans="1:54" hidden="1" x14ac:dyDescent="0.3">
      <c r="B200" t="s">
        <v>206</v>
      </c>
      <c r="C200">
        <v>47.4116</v>
      </c>
      <c r="D200">
        <v>28.369900000000001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1</v>
      </c>
      <c r="AZ200">
        <v>1</v>
      </c>
      <c r="BA200">
        <v>3</v>
      </c>
      <c r="BB200">
        <v>3</v>
      </c>
    </row>
    <row r="201" spans="1:54" hidden="1" x14ac:dyDescent="0.3">
      <c r="B201" t="s">
        <v>207</v>
      </c>
      <c r="C201">
        <v>-16.290199999999999</v>
      </c>
      <c r="D201">
        <v>-63.588700000000003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2</v>
      </c>
    </row>
    <row r="202" spans="1:54" hidden="1" x14ac:dyDescent="0.3">
      <c r="A202" t="s">
        <v>208</v>
      </c>
      <c r="B202" t="s">
        <v>181</v>
      </c>
      <c r="C202">
        <v>61.892600000000002</v>
      </c>
      <c r="D202">
        <v>-6.9118000000000004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1</v>
      </c>
      <c r="AV202">
        <v>1</v>
      </c>
      <c r="AW202">
        <v>1</v>
      </c>
      <c r="AX202">
        <v>1</v>
      </c>
      <c r="AY202">
        <v>2</v>
      </c>
      <c r="AZ202">
        <v>2</v>
      </c>
      <c r="BA202">
        <v>2</v>
      </c>
      <c r="BB202">
        <v>2</v>
      </c>
    </row>
    <row r="203" spans="1:54" hidden="1" x14ac:dyDescent="0.3">
      <c r="A203" t="s">
        <v>209</v>
      </c>
      <c r="B203" t="s">
        <v>166</v>
      </c>
      <c r="C203">
        <v>18.070799999999998</v>
      </c>
      <c r="D203">
        <v>-63.0501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2</v>
      </c>
      <c r="BA203">
        <v>2</v>
      </c>
      <c r="BB203">
        <v>2</v>
      </c>
    </row>
    <row r="204" spans="1:54" hidden="1" x14ac:dyDescent="0.3">
      <c r="B204" t="s">
        <v>210</v>
      </c>
      <c r="C204">
        <v>15.2</v>
      </c>
      <c r="D204">
        <v>-86.241900000000001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2</v>
      </c>
    </row>
    <row r="205" spans="1:54" hidden="1" x14ac:dyDescent="0.3">
      <c r="A205" t="s">
        <v>211</v>
      </c>
      <c r="B205" t="s">
        <v>180</v>
      </c>
      <c r="C205">
        <v>49.372300000000003</v>
      </c>
      <c r="D205">
        <v>-2.3643999999999998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1</v>
      </c>
      <c r="BB205">
        <v>2</v>
      </c>
    </row>
    <row r="206" spans="1:54" hidden="1" x14ac:dyDescent="0.3">
      <c r="A206" t="s">
        <v>212</v>
      </c>
      <c r="B206" t="s">
        <v>10</v>
      </c>
      <c r="C206">
        <v>46.565300000000001</v>
      </c>
      <c r="D206">
        <v>-66.4619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1</v>
      </c>
    </row>
    <row r="207" spans="1:54" hidden="1" x14ac:dyDescent="0.3">
      <c r="A207" t="s">
        <v>213</v>
      </c>
      <c r="B207" t="s">
        <v>163</v>
      </c>
      <c r="C207">
        <v>31.692699999999999</v>
      </c>
      <c r="D207">
        <v>88.092399999999998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1</v>
      </c>
      <c r="N207">
        <v>1</v>
      </c>
      <c r="O207">
        <v>1</v>
      </c>
      <c r="P207">
        <v>1</v>
      </c>
      <c r="Q207">
        <v>1</v>
      </c>
      <c r="R207">
        <v>1</v>
      </c>
      <c r="S207">
        <v>1</v>
      </c>
      <c r="T207">
        <v>1</v>
      </c>
      <c r="U207">
        <v>1</v>
      </c>
      <c r="V207">
        <v>1</v>
      </c>
      <c r="W207">
        <v>1</v>
      </c>
      <c r="X207">
        <v>1</v>
      </c>
      <c r="Y207">
        <v>1</v>
      </c>
      <c r="Z207">
        <v>1</v>
      </c>
      <c r="AA207">
        <v>1</v>
      </c>
      <c r="AB207">
        <v>1</v>
      </c>
      <c r="AC207">
        <v>1</v>
      </c>
      <c r="AD207">
        <v>1</v>
      </c>
      <c r="AE207">
        <v>1</v>
      </c>
      <c r="AF207">
        <v>1</v>
      </c>
      <c r="AG207">
        <v>1</v>
      </c>
      <c r="AH207">
        <v>1</v>
      </c>
      <c r="AI207">
        <v>1</v>
      </c>
      <c r="AJ207">
        <v>1</v>
      </c>
      <c r="AK207">
        <v>1</v>
      </c>
      <c r="AL207">
        <v>1</v>
      </c>
      <c r="AM207">
        <v>1</v>
      </c>
      <c r="AN207">
        <v>1</v>
      </c>
      <c r="AO207">
        <v>1</v>
      </c>
      <c r="AP207">
        <v>1</v>
      </c>
      <c r="AQ207">
        <v>1</v>
      </c>
      <c r="AR207">
        <v>1</v>
      </c>
      <c r="AS207">
        <v>1</v>
      </c>
      <c r="AT207">
        <v>1</v>
      </c>
      <c r="AU207">
        <v>1</v>
      </c>
      <c r="AV207">
        <v>1</v>
      </c>
      <c r="AW207">
        <v>1</v>
      </c>
      <c r="AX207">
        <v>1</v>
      </c>
      <c r="AY207">
        <v>1</v>
      </c>
      <c r="AZ207">
        <v>1</v>
      </c>
      <c r="BA207">
        <v>1</v>
      </c>
      <c r="BB207">
        <v>1</v>
      </c>
    </row>
    <row r="208" spans="1:54" hidden="1" x14ac:dyDescent="0.3">
      <c r="B208" t="s">
        <v>214</v>
      </c>
      <c r="C208">
        <v>-4.0382999999999996</v>
      </c>
      <c r="D208">
        <v>21.758700000000001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1</v>
      </c>
    </row>
    <row r="209" spans="1:54" hidden="1" x14ac:dyDescent="0.3">
      <c r="B209" t="s">
        <v>215</v>
      </c>
      <c r="C209">
        <v>7.54</v>
      </c>
      <c r="D209">
        <v>-5.5471000000000004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1</v>
      </c>
    </row>
    <row r="210" spans="1:54" hidden="1" x14ac:dyDescent="0.3">
      <c r="A210" t="s">
        <v>216</v>
      </c>
      <c r="B210" t="s">
        <v>166</v>
      </c>
      <c r="C210">
        <v>17.899999999999999</v>
      </c>
      <c r="D210">
        <v>-62.833300000000001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3</v>
      </c>
      <c r="AV210">
        <v>3</v>
      </c>
      <c r="AW210">
        <v>3</v>
      </c>
      <c r="AX210">
        <v>3</v>
      </c>
      <c r="AY210">
        <v>3</v>
      </c>
      <c r="AZ210">
        <v>1</v>
      </c>
      <c r="BA210">
        <v>1</v>
      </c>
      <c r="BB210">
        <v>1</v>
      </c>
    </row>
    <row r="211" spans="1:54" hidden="1" x14ac:dyDescent="0.3">
      <c r="B211" t="s">
        <v>217</v>
      </c>
      <c r="C211">
        <v>18.1096</v>
      </c>
      <c r="D211">
        <v>-77.297499999999999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1</v>
      </c>
    </row>
    <row r="212" spans="1:54" hidden="1" x14ac:dyDescent="0.3">
      <c r="B212" t="s">
        <v>218</v>
      </c>
      <c r="C212">
        <v>-21.115100000000002</v>
      </c>
      <c r="D212">
        <v>55.5364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1</v>
      </c>
    </row>
    <row r="213" spans="1:54" hidden="1" x14ac:dyDescent="0.3">
      <c r="B213" t="s">
        <v>219</v>
      </c>
      <c r="C213">
        <v>38.963700000000003</v>
      </c>
      <c r="D213">
        <v>35.243299999999998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1</v>
      </c>
    </row>
    <row r="214" spans="1:54" hidden="1" x14ac:dyDescent="0.3">
      <c r="A214" t="s">
        <v>220</v>
      </c>
      <c r="B214" t="s">
        <v>180</v>
      </c>
      <c r="C214">
        <v>36.140799999999999</v>
      </c>
      <c r="D214">
        <v>-5.3536000000000001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1</v>
      </c>
      <c r="AV214">
        <v>1</v>
      </c>
      <c r="AW214">
        <v>1</v>
      </c>
      <c r="AX214">
        <v>1</v>
      </c>
      <c r="AY214">
        <v>1</v>
      </c>
      <c r="AZ214">
        <v>1</v>
      </c>
      <c r="BA214">
        <v>1</v>
      </c>
      <c r="BB214">
        <v>1</v>
      </c>
    </row>
    <row r="215" spans="1:54" hidden="1" x14ac:dyDescent="0.3">
      <c r="A215" t="s">
        <v>221</v>
      </c>
      <c r="B215" t="s">
        <v>107</v>
      </c>
      <c r="C215">
        <v>47.6477</v>
      </c>
      <c r="D215">
        <v>-122.6413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1</v>
      </c>
      <c r="BB215">
        <v>2</v>
      </c>
    </row>
    <row r="216" spans="1:54" hidden="1" x14ac:dyDescent="0.3">
      <c r="A216" t="s">
        <v>222</v>
      </c>
      <c r="B216" t="s">
        <v>107</v>
      </c>
      <c r="C216">
        <v>38.310499999999998</v>
      </c>
      <c r="D216">
        <v>-121.90179999999999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3</v>
      </c>
      <c r="BB216">
        <v>3</v>
      </c>
    </row>
    <row r="217" spans="1:54" hidden="1" x14ac:dyDescent="0.3">
      <c r="A217" t="s">
        <v>223</v>
      </c>
      <c r="B217" t="s">
        <v>107</v>
      </c>
      <c r="C217">
        <v>37.045400000000001</v>
      </c>
      <c r="D217">
        <v>-121.958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2</v>
      </c>
      <c r="BB217">
        <v>2</v>
      </c>
    </row>
    <row r="218" spans="1:54" hidden="1" x14ac:dyDescent="0.3">
      <c r="A218" t="s">
        <v>224</v>
      </c>
      <c r="B218" t="s">
        <v>107</v>
      </c>
      <c r="C218">
        <v>38.502499999999998</v>
      </c>
      <c r="D218">
        <v>-122.2654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1</v>
      </c>
      <c r="BB218">
        <v>1</v>
      </c>
    </row>
    <row r="219" spans="1:54" hidden="1" x14ac:dyDescent="0.3">
      <c r="A219" t="s">
        <v>225</v>
      </c>
      <c r="B219" t="s">
        <v>107</v>
      </c>
      <c r="C219">
        <v>34.3705</v>
      </c>
      <c r="D219">
        <v>-119.1391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1</v>
      </c>
      <c r="BB219">
        <v>1</v>
      </c>
    </row>
    <row r="220" spans="1:54" hidden="1" x14ac:dyDescent="0.3">
      <c r="A220" t="s">
        <v>226</v>
      </c>
      <c r="B220" t="s">
        <v>107</v>
      </c>
      <c r="C220">
        <v>42.409700000000001</v>
      </c>
      <c r="D220">
        <v>-71.857100000000003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1</v>
      </c>
      <c r="BB220">
        <v>1</v>
      </c>
    </row>
    <row r="221" spans="1:54" hidden="1" x14ac:dyDescent="0.3">
      <c r="A221" t="s">
        <v>227</v>
      </c>
      <c r="B221" t="s">
        <v>107</v>
      </c>
      <c r="C221">
        <v>33.9191</v>
      </c>
      <c r="D221">
        <v>-84.0167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2</v>
      </c>
      <c r="BB221">
        <v>2</v>
      </c>
    </row>
    <row r="222" spans="1:54" hidden="1" x14ac:dyDescent="0.3">
      <c r="A222" t="s">
        <v>228</v>
      </c>
      <c r="B222" t="s">
        <v>107</v>
      </c>
      <c r="C222">
        <v>33.7956</v>
      </c>
      <c r="D222">
        <v>-84.227900000000005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1</v>
      </c>
      <c r="BB222">
        <v>2</v>
      </c>
    </row>
    <row r="223" spans="1:54" hidden="1" x14ac:dyDescent="0.3">
      <c r="A223" t="s">
        <v>229</v>
      </c>
      <c r="B223" t="s">
        <v>107</v>
      </c>
      <c r="C223">
        <v>37.545499999999997</v>
      </c>
      <c r="D223">
        <v>-82.777900000000002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1</v>
      </c>
      <c r="BB223">
        <v>1</v>
      </c>
    </row>
    <row r="224" spans="1:54" hidden="1" x14ac:dyDescent="0.3">
      <c r="A224" t="s">
        <v>230</v>
      </c>
      <c r="B224" t="s">
        <v>107</v>
      </c>
      <c r="C224">
        <v>33.450200000000002</v>
      </c>
      <c r="D224">
        <v>-84.4803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1</v>
      </c>
      <c r="BB224">
        <v>1</v>
      </c>
    </row>
    <row r="225" spans="1:54" hidden="1" x14ac:dyDescent="0.3">
      <c r="A225" t="s">
        <v>231</v>
      </c>
      <c r="B225" t="s">
        <v>107</v>
      </c>
      <c r="C225">
        <v>32.4893</v>
      </c>
      <c r="D225">
        <v>-94.852099999999993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1</v>
      </c>
      <c r="BB225">
        <v>1</v>
      </c>
    </row>
    <row r="226" spans="1:54" hidden="1" x14ac:dyDescent="0.3">
      <c r="A226" t="s">
        <v>232</v>
      </c>
      <c r="B226" t="s">
        <v>107</v>
      </c>
      <c r="C226">
        <v>40.258899999999997</v>
      </c>
      <c r="D226">
        <v>-74.123999999999995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2</v>
      </c>
      <c r="BB226">
        <v>4</v>
      </c>
    </row>
    <row r="227" spans="1:54" hidden="1" x14ac:dyDescent="0.3">
      <c r="A227" t="s">
        <v>233</v>
      </c>
      <c r="B227" t="s">
        <v>107</v>
      </c>
      <c r="C227">
        <v>40.071199999999997</v>
      </c>
      <c r="D227">
        <v>-74.864900000000006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2</v>
      </c>
      <c r="BB227">
        <v>2</v>
      </c>
    </row>
    <row r="228" spans="1:54" hidden="1" x14ac:dyDescent="0.3">
      <c r="A228" t="s">
        <v>234</v>
      </c>
      <c r="B228" t="s">
        <v>107</v>
      </c>
      <c r="C228">
        <v>39.925899999999999</v>
      </c>
      <c r="D228">
        <v>-75.119600000000005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1</v>
      </c>
      <c r="BB228">
        <v>1</v>
      </c>
    </row>
    <row r="229" spans="1:54" hidden="1" x14ac:dyDescent="0.3">
      <c r="A229" t="s">
        <v>235</v>
      </c>
      <c r="B229" t="s">
        <v>107</v>
      </c>
      <c r="C229">
        <v>40.8568</v>
      </c>
      <c r="D229">
        <v>-74.128500000000003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1</v>
      </c>
      <c r="BB229">
        <v>1</v>
      </c>
    </row>
    <row r="230" spans="1:54" hidden="1" x14ac:dyDescent="0.3">
      <c r="A230" t="s">
        <v>236</v>
      </c>
      <c r="B230" t="s">
        <v>107</v>
      </c>
      <c r="C230">
        <v>40.697600000000001</v>
      </c>
      <c r="D230">
        <v>-74.263199999999998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1</v>
      </c>
      <c r="BB230">
        <v>1</v>
      </c>
    </row>
    <row r="231" spans="1:54" hidden="1" x14ac:dyDescent="0.3">
      <c r="A231" t="s">
        <v>237</v>
      </c>
      <c r="B231" t="s">
        <v>107</v>
      </c>
      <c r="C231">
        <v>39.655299999999997</v>
      </c>
      <c r="D231">
        <v>-106.8287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2</v>
      </c>
      <c r="BB231">
        <v>4</v>
      </c>
    </row>
    <row r="232" spans="1:54" hidden="1" x14ac:dyDescent="0.3">
      <c r="A232" t="s">
        <v>238</v>
      </c>
      <c r="B232" t="s">
        <v>107</v>
      </c>
      <c r="C232">
        <v>40.695599999999999</v>
      </c>
      <c r="D232">
        <v>-105.5943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1</v>
      </c>
      <c r="BB232">
        <v>1</v>
      </c>
    </row>
    <row r="233" spans="1:54" hidden="1" x14ac:dyDescent="0.3">
      <c r="A233" t="s">
        <v>239</v>
      </c>
      <c r="B233" t="s">
        <v>107</v>
      </c>
      <c r="C233">
        <v>39.6203</v>
      </c>
      <c r="D233">
        <v>-104.3326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2</v>
      </c>
      <c r="BB233">
        <v>3</v>
      </c>
    </row>
    <row r="234" spans="1:54" hidden="1" x14ac:dyDescent="0.3">
      <c r="A234" t="s">
        <v>240</v>
      </c>
      <c r="B234" t="s">
        <v>107</v>
      </c>
      <c r="C234">
        <v>38.5458</v>
      </c>
      <c r="D234">
        <v>-106.92529999999999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1</v>
      </c>
      <c r="BB234">
        <v>5</v>
      </c>
    </row>
    <row r="235" spans="1:54" hidden="1" x14ac:dyDescent="0.3">
      <c r="A235" t="s">
        <v>241</v>
      </c>
      <c r="B235" t="s">
        <v>107</v>
      </c>
      <c r="C235">
        <v>41.987900000000003</v>
      </c>
      <c r="D235">
        <v>-88.401600000000002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1</v>
      </c>
      <c r="BB235">
        <v>1</v>
      </c>
    </row>
    <row r="236" spans="1:54" hidden="1" x14ac:dyDescent="0.3">
      <c r="A236" t="s">
        <v>242</v>
      </c>
      <c r="B236" t="s">
        <v>107</v>
      </c>
      <c r="C236">
        <v>41.0458</v>
      </c>
      <c r="D236">
        <v>-75.247900000000001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1</v>
      </c>
      <c r="BB236">
        <v>2</v>
      </c>
    </row>
    <row r="237" spans="1:54" hidden="1" x14ac:dyDescent="0.3">
      <c r="A237" t="s">
        <v>243</v>
      </c>
      <c r="B237" t="s">
        <v>107</v>
      </c>
      <c r="C237">
        <v>39.952599999999997</v>
      </c>
      <c r="D237">
        <v>-75.165199999999999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1</v>
      </c>
      <c r="BB237">
        <v>1</v>
      </c>
    </row>
    <row r="238" spans="1:54" x14ac:dyDescent="0.3">
      <c r="A238" t="s">
        <v>244</v>
      </c>
      <c r="B238" t="s">
        <v>107</v>
      </c>
      <c r="C238">
        <v>36.8508</v>
      </c>
      <c r="D238">
        <v>-76.285899999999998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2</v>
      </c>
      <c r="BB238">
        <v>2</v>
      </c>
    </row>
    <row r="239" spans="1:54" x14ac:dyDescent="0.3">
      <c r="A239" t="s">
        <v>245</v>
      </c>
      <c r="B239" t="s">
        <v>107</v>
      </c>
      <c r="C239">
        <v>38.881599999999999</v>
      </c>
      <c r="D239">
        <v>-77.090999999999994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1</v>
      </c>
      <c r="BB239">
        <v>1</v>
      </c>
    </row>
    <row r="240" spans="1:54" x14ac:dyDescent="0.3">
      <c r="A240" t="s">
        <v>246</v>
      </c>
      <c r="B240" t="s">
        <v>107</v>
      </c>
      <c r="C240">
        <v>38.2042</v>
      </c>
      <c r="D240">
        <v>-77.607799999999997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1</v>
      </c>
      <c r="BB240">
        <v>1</v>
      </c>
    </row>
    <row r="241" spans="1:54" x14ac:dyDescent="0.3">
      <c r="A241" t="s">
        <v>247</v>
      </c>
      <c r="B241" t="s">
        <v>107</v>
      </c>
      <c r="C241">
        <v>39.076799999999999</v>
      </c>
      <c r="D241">
        <v>-77.653599999999997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1</v>
      </c>
      <c r="BB241">
        <v>1</v>
      </c>
    </row>
    <row r="242" spans="1:54" hidden="1" x14ac:dyDescent="0.3">
      <c r="A242" t="s">
        <v>248</v>
      </c>
      <c r="B242" t="s">
        <v>107</v>
      </c>
      <c r="C242">
        <v>38.7849</v>
      </c>
      <c r="D242">
        <v>-76.872100000000003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3</v>
      </c>
      <c r="BB242">
        <v>3</v>
      </c>
    </row>
    <row r="243" spans="1:54" hidden="1" x14ac:dyDescent="0.3">
      <c r="A243" t="s">
        <v>249</v>
      </c>
      <c r="B243" t="s">
        <v>107</v>
      </c>
      <c r="C243">
        <v>41.391199999999998</v>
      </c>
      <c r="D243">
        <v>-95.477800000000002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1</v>
      </c>
      <c r="BB243">
        <v>1</v>
      </c>
    </row>
    <row r="244" spans="1:54" hidden="1" x14ac:dyDescent="0.3">
      <c r="A244" t="s">
        <v>250</v>
      </c>
      <c r="B244" t="s">
        <v>107</v>
      </c>
      <c r="C244">
        <v>34.246499999999997</v>
      </c>
      <c r="D244">
        <v>-80.606999999999999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4</v>
      </c>
      <c r="BB244">
        <v>4</v>
      </c>
    </row>
    <row r="245" spans="1:54" hidden="1" x14ac:dyDescent="0.3">
      <c r="A245" t="s">
        <v>251</v>
      </c>
      <c r="B245" t="s">
        <v>107</v>
      </c>
      <c r="C245">
        <v>32.057499999999997</v>
      </c>
      <c r="D245">
        <v>-111.6661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1</v>
      </c>
      <c r="BB245">
        <v>1</v>
      </c>
    </row>
    <row r="246" spans="1:54" hidden="1" x14ac:dyDescent="0.3">
      <c r="A246" t="s">
        <v>252</v>
      </c>
      <c r="B246" t="s">
        <v>107</v>
      </c>
      <c r="C246">
        <v>41.427700000000002</v>
      </c>
      <c r="D246">
        <v>-85.355000000000004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1</v>
      </c>
      <c r="BB246">
        <v>1</v>
      </c>
    </row>
    <row r="247" spans="1:54" hidden="1" x14ac:dyDescent="0.3">
      <c r="A247" t="s">
        <v>253</v>
      </c>
      <c r="B247" t="s">
        <v>107</v>
      </c>
      <c r="C247">
        <v>39.852200000000003</v>
      </c>
      <c r="D247">
        <v>-77.286500000000004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1</v>
      </c>
      <c r="BB247">
        <v>1</v>
      </c>
    </row>
    <row r="248" spans="1:54" hidden="1" x14ac:dyDescent="0.3">
      <c r="A248" t="s">
        <v>254</v>
      </c>
      <c r="B248" t="s">
        <v>107</v>
      </c>
      <c r="C248">
        <v>40.010599999999997</v>
      </c>
      <c r="D248">
        <v>-86.499700000000004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1</v>
      </c>
      <c r="BB248">
        <v>1</v>
      </c>
    </row>
    <row r="249" spans="1:54" hidden="1" x14ac:dyDescent="0.3">
      <c r="A249" t="s">
        <v>255</v>
      </c>
      <c r="B249" t="s">
        <v>107</v>
      </c>
      <c r="C249">
        <v>43.018599999999999</v>
      </c>
      <c r="D249">
        <v>-89.549800000000005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2</v>
      </c>
      <c r="BB249">
        <v>2</v>
      </c>
    </row>
    <row r="250" spans="1:54" hidden="1" x14ac:dyDescent="0.3">
      <c r="A250" t="s">
        <v>256</v>
      </c>
      <c r="B250" t="s">
        <v>107</v>
      </c>
      <c r="C250">
        <v>44.750900000000001</v>
      </c>
      <c r="D250">
        <v>-92.381399999999999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1</v>
      </c>
      <c r="BB250">
        <v>2</v>
      </c>
    </row>
    <row r="251" spans="1:54" hidden="1" x14ac:dyDescent="0.3">
      <c r="A251" t="s">
        <v>257</v>
      </c>
      <c r="B251" t="s">
        <v>107</v>
      </c>
      <c r="C251">
        <v>41.433900000000001</v>
      </c>
      <c r="D251">
        <v>-81.675799999999995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3</v>
      </c>
      <c r="BB251">
        <v>3</v>
      </c>
    </row>
    <row r="252" spans="1:54" hidden="1" x14ac:dyDescent="0.3">
      <c r="A252" t="s">
        <v>258</v>
      </c>
      <c r="B252" t="s">
        <v>107</v>
      </c>
      <c r="C252">
        <v>41.260300000000001</v>
      </c>
      <c r="D252">
        <v>-111.9522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1</v>
      </c>
      <c r="BB252">
        <v>1</v>
      </c>
    </row>
    <row r="253" spans="1:54" hidden="1" x14ac:dyDescent="0.3">
      <c r="A253" t="s">
        <v>259</v>
      </c>
      <c r="B253" t="s">
        <v>107</v>
      </c>
      <c r="C253">
        <v>43.027900000000002</v>
      </c>
      <c r="D253">
        <v>-73.135000000000005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1</v>
      </c>
      <c r="AZ253">
        <v>1</v>
      </c>
      <c r="BA253">
        <v>1</v>
      </c>
      <c r="BB253">
        <v>1</v>
      </c>
    </row>
    <row r="254" spans="1:54" hidden="1" x14ac:dyDescent="0.3">
      <c r="A254" t="s">
        <v>260</v>
      </c>
      <c r="B254" t="s">
        <v>107</v>
      </c>
      <c r="C254">
        <v>44.825400000000002</v>
      </c>
      <c r="D254">
        <v>-93.784199999999998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1</v>
      </c>
      <c r="BA254">
        <v>1</v>
      </c>
      <c r="BB254">
        <v>1</v>
      </c>
    </row>
    <row r="255" spans="1:54" hidden="1" x14ac:dyDescent="0.3">
      <c r="A255" t="s">
        <v>261</v>
      </c>
      <c r="B255" t="s">
        <v>107</v>
      </c>
      <c r="C255">
        <v>26.894600000000001</v>
      </c>
      <c r="D255">
        <v>-81.909800000000004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1</v>
      </c>
      <c r="BA255">
        <v>1</v>
      </c>
      <c r="BB255">
        <v>1</v>
      </c>
    </row>
    <row r="256" spans="1:54" hidden="1" x14ac:dyDescent="0.3">
      <c r="A256" t="s">
        <v>262</v>
      </c>
      <c r="B256" t="s">
        <v>107</v>
      </c>
      <c r="C256">
        <v>34.2515</v>
      </c>
      <c r="D256">
        <v>-84.4803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1</v>
      </c>
      <c r="BA256">
        <v>1</v>
      </c>
      <c r="BB256">
        <v>1</v>
      </c>
    </row>
    <row r="257" spans="1:54" hidden="1" x14ac:dyDescent="0.3">
      <c r="A257" t="s">
        <v>263</v>
      </c>
      <c r="B257" t="s">
        <v>107</v>
      </c>
      <c r="C257">
        <v>33.179499999999997</v>
      </c>
      <c r="D257">
        <v>-96.492999999999995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1</v>
      </c>
      <c r="BA257">
        <v>3</v>
      </c>
      <c r="BB257">
        <v>3</v>
      </c>
    </row>
    <row r="258" spans="1:54" hidden="1" x14ac:dyDescent="0.3">
      <c r="A258" t="s">
        <v>264</v>
      </c>
      <c r="B258" t="s">
        <v>107</v>
      </c>
      <c r="C258">
        <v>38.193800000000003</v>
      </c>
      <c r="D258">
        <v>-85.643500000000003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1</v>
      </c>
      <c r="BA258">
        <v>1</v>
      </c>
      <c r="BB258">
        <v>1</v>
      </c>
    </row>
    <row r="259" spans="1:54" hidden="1" x14ac:dyDescent="0.3">
      <c r="A259" t="s">
        <v>265</v>
      </c>
      <c r="B259" t="s">
        <v>107</v>
      </c>
      <c r="C259">
        <v>29.649899999999999</v>
      </c>
      <c r="D259">
        <v>-90.112099999999998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1</v>
      </c>
      <c r="BA259">
        <v>1</v>
      </c>
      <c r="BB259">
        <v>1</v>
      </c>
    </row>
    <row r="260" spans="1:54" hidden="1" x14ac:dyDescent="0.3">
      <c r="A260" t="s">
        <v>266</v>
      </c>
      <c r="B260" t="s">
        <v>107</v>
      </c>
      <c r="C260">
        <v>40.790900000000001</v>
      </c>
      <c r="D260">
        <v>-121.84739999999999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1</v>
      </c>
      <c r="BA260">
        <v>1</v>
      </c>
      <c r="BB260">
        <v>1</v>
      </c>
    </row>
    <row r="261" spans="1:54" hidden="1" x14ac:dyDescent="0.3">
      <c r="A261" t="s">
        <v>267</v>
      </c>
      <c r="B261" t="s">
        <v>107</v>
      </c>
      <c r="C261">
        <v>34.860599999999998</v>
      </c>
      <c r="D261">
        <v>-81.953500000000005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1</v>
      </c>
      <c r="BA261">
        <v>1</v>
      </c>
      <c r="BB261">
        <v>1</v>
      </c>
    </row>
    <row r="262" spans="1:54" hidden="1" x14ac:dyDescent="0.3">
      <c r="A262" t="s">
        <v>268</v>
      </c>
      <c r="B262" t="s">
        <v>107</v>
      </c>
      <c r="C262">
        <v>38.433300000000003</v>
      </c>
      <c r="D262">
        <v>-84.354200000000006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2</v>
      </c>
      <c r="BA262">
        <v>2</v>
      </c>
      <c r="BB262">
        <v>5</v>
      </c>
    </row>
    <row r="263" spans="1:54" hidden="1" x14ac:dyDescent="0.3">
      <c r="A263" t="s">
        <v>269</v>
      </c>
      <c r="B263" t="s">
        <v>107</v>
      </c>
      <c r="C263">
        <v>41.669899999999998</v>
      </c>
      <c r="D263">
        <v>-91.598399999999998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3</v>
      </c>
      <c r="BA263">
        <v>7</v>
      </c>
      <c r="BB263">
        <v>12</v>
      </c>
    </row>
    <row r="264" spans="1:54" hidden="1" x14ac:dyDescent="0.3">
      <c r="A264" t="s">
        <v>270</v>
      </c>
      <c r="B264" t="s">
        <v>107</v>
      </c>
      <c r="C264">
        <v>42.311799999999998</v>
      </c>
      <c r="D264">
        <v>-73.182199999999995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1</v>
      </c>
      <c r="AZ264">
        <v>1</v>
      </c>
      <c r="BA264">
        <v>5</v>
      </c>
      <c r="BB264">
        <v>7</v>
      </c>
    </row>
    <row r="265" spans="1:54" hidden="1" x14ac:dyDescent="0.3">
      <c r="A265" t="s">
        <v>271</v>
      </c>
      <c r="B265" t="s">
        <v>107</v>
      </c>
      <c r="C265">
        <v>36.134300000000003</v>
      </c>
      <c r="D265">
        <v>-86.822000000000003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1</v>
      </c>
      <c r="AZ265">
        <v>1</v>
      </c>
      <c r="BA265">
        <v>1</v>
      </c>
      <c r="BB265">
        <v>2</v>
      </c>
    </row>
    <row r="266" spans="1:54" hidden="1" x14ac:dyDescent="0.3">
      <c r="A266" t="s">
        <v>272</v>
      </c>
      <c r="B266" t="s">
        <v>107</v>
      </c>
      <c r="C266">
        <v>43.126100000000001</v>
      </c>
      <c r="D266">
        <v>-123.2492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1</v>
      </c>
      <c r="AZ266">
        <v>1</v>
      </c>
      <c r="BA266">
        <v>1</v>
      </c>
      <c r="BB266">
        <v>1</v>
      </c>
    </row>
    <row r="267" spans="1:54" hidden="1" x14ac:dyDescent="0.3">
      <c r="A267" t="s">
        <v>273</v>
      </c>
      <c r="B267" t="s">
        <v>107</v>
      </c>
      <c r="C267">
        <v>36.985900000000001</v>
      </c>
      <c r="D267">
        <v>-119.2321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1</v>
      </c>
      <c r="AZ267">
        <v>1</v>
      </c>
      <c r="BA267">
        <v>1</v>
      </c>
      <c r="BB267">
        <v>2</v>
      </c>
    </row>
    <row r="268" spans="1:54" hidden="1" x14ac:dyDescent="0.3">
      <c r="A268" t="s">
        <v>274</v>
      </c>
      <c r="B268" t="s">
        <v>107</v>
      </c>
      <c r="C268">
        <v>39.5839</v>
      </c>
      <c r="D268">
        <v>-76.363699999999994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1</v>
      </c>
      <c r="AZ268">
        <v>1</v>
      </c>
      <c r="BA268">
        <v>1</v>
      </c>
      <c r="BB268">
        <v>1</v>
      </c>
    </row>
    <row r="269" spans="1:54" hidden="1" x14ac:dyDescent="0.3">
      <c r="A269" t="s">
        <v>275</v>
      </c>
      <c r="B269" t="s">
        <v>107</v>
      </c>
      <c r="C269">
        <v>39.8065</v>
      </c>
      <c r="D269">
        <v>-86.540099999999995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1</v>
      </c>
      <c r="AZ269">
        <v>2</v>
      </c>
      <c r="BA269">
        <v>2</v>
      </c>
      <c r="BB269">
        <v>2</v>
      </c>
    </row>
    <row r="270" spans="1:54" hidden="1" x14ac:dyDescent="0.3">
      <c r="A270" t="s">
        <v>276</v>
      </c>
      <c r="B270" t="s">
        <v>107</v>
      </c>
      <c r="C270">
        <v>40.7453</v>
      </c>
      <c r="D270">
        <v>-74.0535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1</v>
      </c>
      <c r="AZ270">
        <v>1</v>
      </c>
      <c r="BA270">
        <v>1</v>
      </c>
      <c r="BB270">
        <v>1</v>
      </c>
    </row>
    <row r="271" spans="1:54" hidden="1" x14ac:dyDescent="0.3">
      <c r="A271" t="s">
        <v>277</v>
      </c>
      <c r="B271" t="s">
        <v>107</v>
      </c>
      <c r="C271">
        <v>38.845399999999998</v>
      </c>
      <c r="D271">
        <v>-94.852099999999993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1</v>
      </c>
      <c r="AZ271">
        <v>1</v>
      </c>
      <c r="BA271">
        <v>1</v>
      </c>
      <c r="BB271">
        <v>1</v>
      </c>
    </row>
    <row r="272" spans="1:54" hidden="1" x14ac:dyDescent="0.3">
      <c r="A272" t="s">
        <v>278</v>
      </c>
      <c r="B272" t="s">
        <v>107</v>
      </c>
      <c r="C272">
        <v>47.174999999999997</v>
      </c>
      <c r="D272">
        <v>-120.9319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  <c r="AY272">
        <v>1</v>
      </c>
      <c r="AZ272">
        <v>1</v>
      </c>
      <c r="BA272">
        <v>1</v>
      </c>
      <c r="BB272">
        <v>1</v>
      </c>
    </row>
    <row r="273" spans="1:54" hidden="1" x14ac:dyDescent="0.3">
      <c r="A273" t="s">
        <v>279</v>
      </c>
      <c r="B273" t="s">
        <v>107</v>
      </c>
      <c r="C273">
        <v>27.479900000000001</v>
      </c>
      <c r="D273">
        <v>-82.345200000000006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1</v>
      </c>
      <c r="AZ273">
        <v>2</v>
      </c>
      <c r="BA273">
        <v>2</v>
      </c>
      <c r="BB273">
        <v>2</v>
      </c>
    </row>
    <row r="274" spans="1:54" hidden="1" x14ac:dyDescent="0.3">
      <c r="A274" t="s">
        <v>280</v>
      </c>
      <c r="B274" t="s">
        <v>107</v>
      </c>
      <c r="C274">
        <v>44.8446</v>
      </c>
      <c r="D274">
        <v>-122.59269999999999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  <c r="AY274">
        <v>1</v>
      </c>
      <c r="AZ274">
        <v>1</v>
      </c>
      <c r="BA274">
        <v>1</v>
      </c>
      <c r="BB274">
        <v>2</v>
      </c>
    </row>
    <row r="275" spans="1:54" hidden="1" x14ac:dyDescent="0.3">
      <c r="A275" t="s">
        <v>281</v>
      </c>
      <c r="B275" t="s">
        <v>107</v>
      </c>
      <c r="C275">
        <v>30.577300000000001</v>
      </c>
      <c r="D275">
        <v>-86.661100000000005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  <c r="AY275">
        <v>1</v>
      </c>
      <c r="AZ275">
        <v>1</v>
      </c>
      <c r="BA275">
        <v>1</v>
      </c>
      <c r="BB275">
        <v>1</v>
      </c>
    </row>
    <row r="276" spans="1:54" hidden="1" x14ac:dyDescent="0.3">
      <c r="A276" t="s">
        <v>282</v>
      </c>
      <c r="B276" t="s">
        <v>107</v>
      </c>
      <c r="C276">
        <v>34.013199999999998</v>
      </c>
      <c r="D276">
        <v>-85.147900000000007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1</v>
      </c>
      <c r="AX276">
        <v>1</v>
      </c>
      <c r="AY276">
        <v>1</v>
      </c>
      <c r="AZ276">
        <v>1</v>
      </c>
      <c r="BA276">
        <v>1</v>
      </c>
      <c r="BB276">
        <v>1</v>
      </c>
    </row>
    <row r="277" spans="1:54" hidden="1" x14ac:dyDescent="0.3">
      <c r="A277" t="s">
        <v>283</v>
      </c>
      <c r="B277" t="s">
        <v>107</v>
      </c>
      <c r="C277">
        <v>33.953299999999999</v>
      </c>
      <c r="D277">
        <v>-117.3961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1</v>
      </c>
      <c r="AZ277">
        <v>1</v>
      </c>
      <c r="BA277">
        <v>4</v>
      </c>
      <c r="BB277">
        <v>6</v>
      </c>
    </row>
    <row r="278" spans="1:54" hidden="1" x14ac:dyDescent="0.3">
      <c r="A278" t="s">
        <v>284</v>
      </c>
      <c r="B278" t="s">
        <v>107</v>
      </c>
      <c r="C278">
        <v>35.126899999999999</v>
      </c>
      <c r="D278">
        <v>-89.925299999999993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1</v>
      </c>
      <c r="AZ278">
        <v>1</v>
      </c>
      <c r="BA278">
        <v>1</v>
      </c>
      <c r="BB278">
        <v>1</v>
      </c>
    </row>
    <row r="279" spans="1:54" hidden="1" x14ac:dyDescent="0.3">
      <c r="A279" t="s">
        <v>285</v>
      </c>
      <c r="B279" t="s">
        <v>107</v>
      </c>
      <c r="C279">
        <v>38.610300000000002</v>
      </c>
      <c r="D279">
        <v>-90.412499999999994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1</v>
      </c>
      <c r="AZ279">
        <v>1</v>
      </c>
      <c r="BA279">
        <v>1</v>
      </c>
      <c r="BB279">
        <v>1</v>
      </c>
    </row>
    <row r="280" spans="1:54" hidden="1" x14ac:dyDescent="0.3">
      <c r="A280" t="s">
        <v>286</v>
      </c>
      <c r="B280" t="s">
        <v>107</v>
      </c>
      <c r="C280">
        <v>40.984900000000003</v>
      </c>
      <c r="D280">
        <v>-72.615099999999998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1</v>
      </c>
      <c r="AZ280">
        <v>1</v>
      </c>
      <c r="BA280">
        <v>1</v>
      </c>
      <c r="BB280">
        <v>6</v>
      </c>
    </row>
    <row r="281" spans="1:54" hidden="1" x14ac:dyDescent="0.3">
      <c r="A281" t="s">
        <v>287</v>
      </c>
      <c r="B281" t="s">
        <v>107</v>
      </c>
      <c r="C281">
        <v>41.858600000000003</v>
      </c>
      <c r="D281">
        <v>-74.311800000000005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1</v>
      </c>
      <c r="AZ281">
        <v>1</v>
      </c>
      <c r="BA281">
        <v>1</v>
      </c>
      <c r="BB281">
        <v>2</v>
      </c>
    </row>
    <row r="282" spans="1:54" hidden="1" x14ac:dyDescent="0.3">
      <c r="A282" t="s">
        <v>288</v>
      </c>
      <c r="B282" t="s">
        <v>107</v>
      </c>
      <c r="C282">
        <v>29.027999999999999</v>
      </c>
      <c r="D282">
        <v>-81.075500000000005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0</v>
      </c>
      <c r="AY282">
        <v>1</v>
      </c>
      <c r="AZ282">
        <v>1</v>
      </c>
      <c r="BA282">
        <v>2</v>
      </c>
      <c r="BB282">
        <v>2</v>
      </c>
    </row>
    <row r="283" spans="1:54" x14ac:dyDescent="0.3">
      <c r="A283" t="s">
        <v>289</v>
      </c>
      <c r="B283" t="s">
        <v>107</v>
      </c>
      <c r="C283">
        <v>38.908499999999997</v>
      </c>
      <c r="D283">
        <v>-77.240499999999997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0</v>
      </c>
      <c r="AY283">
        <v>2</v>
      </c>
      <c r="AZ283">
        <v>2</v>
      </c>
      <c r="BA283">
        <v>3</v>
      </c>
      <c r="BB283">
        <v>3</v>
      </c>
    </row>
    <row r="284" spans="1:54" hidden="1" x14ac:dyDescent="0.3">
      <c r="A284" t="s">
        <v>290</v>
      </c>
      <c r="B284" t="s">
        <v>107</v>
      </c>
      <c r="C284">
        <v>42.993099999999998</v>
      </c>
      <c r="D284">
        <v>-71.049800000000005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0</v>
      </c>
      <c r="AY284">
        <v>1</v>
      </c>
      <c r="AZ284">
        <v>1</v>
      </c>
      <c r="BA284">
        <v>1</v>
      </c>
      <c r="BB284">
        <v>2</v>
      </c>
    </row>
    <row r="285" spans="1:54" hidden="1" x14ac:dyDescent="0.3">
      <c r="A285" t="s">
        <v>291</v>
      </c>
      <c r="B285" t="s">
        <v>107</v>
      </c>
      <c r="C285">
        <v>38.907200000000003</v>
      </c>
      <c r="D285">
        <v>-77.036900000000003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0</v>
      </c>
      <c r="AY285">
        <v>2</v>
      </c>
      <c r="AZ285">
        <v>2</v>
      </c>
      <c r="BA285">
        <v>4</v>
      </c>
      <c r="BB285">
        <v>4</v>
      </c>
    </row>
    <row r="286" spans="1:54" hidden="1" x14ac:dyDescent="0.3">
      <c r="A286" t="s">
        <v>292</v>
      </c>
      <c r="B286" t="s">
        <v>107</v>
      </c>
      <c r="C286">
        <v>40.228999999999999</v>
      </c>
      <c r="D286">
        <v>-75.387900000000002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4</v>
      </c>
      <c r="AZ286">
        <v>5</v>
      </c>
      <c r="BA286">
        <v>8</v>
      </c>
      <c r="BB286">
        <v>9</v>
      </c>
    </row>
    <row r="287" spans="1:54" hidden="1" x14ac:dyDescent="0.3">
      <c r="A287" t="s">
        <v>293</v>
      </c>
      <c r="B287" t="s">
        <v>107</v>
      </c>
      <c r="C287">
        <v>37.601700000000001</v>
      </c>
      <c r="D287">
        <v>-121.7195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1</v>
      </c>
      <c r="AU287">
        <v>1</v>
      </c>
      <c r="AV287">
        <v>1</v>
      </c>
      <c r="AW287">
        <v>1</v>
      </c>
      <c r="AX287">
        <v>2</v>
      </c>
      <c r="AY287">
        <v>2</v>
      </c>
      <c r="AZ287">
        <v>2</v>
      </c>
      <c r="BA287">
        <v>3</v>
      </c>
      <c r="BB287">
        <v>5</v>
      </c>
    </row>
    <row r="288" spans="1:54" hidden="1" x14ac:dyDescent="0.3">
      <c r="A288" t="s">
        <v>294</v>
      </c>
      <c r="B288" t="s">
        <v>107</v>
      </c>
      <c r="C288">
        <v>26.190100000000001</v>
      </c>
      <c r="D288">
        <v>-80.365899999999996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2</v>
      </c>
      <c r="AY288">
        <v>2</v>
      </c>
      <c r="AZ288">
        <v>3</v>
      </c>
      <c r="BA288">
        <v>4</v>
      </c>
      <c r="BB288">
        <v>4</v>
      </c>
    </row>
    <row r="289" spans="1:54" hidden="1" x14ac:dyDescent="0.3">
      <c r="A289" t="s">
        <v>295</v>
      </c>
      <c r="B289" t="s">
        <v>107</v>
      </c>
      <c r="C289">
        <v>26.663</v>
      </c>
      <c r="D289">
        <v>-81.953500000000005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2</v>
      </c>
      <c r="AY289">
        <v>2</v>
      </c>
      <c r="AZ289">
        <v>2</v>
      </c>
      <c r="BA289">
        <v>2</v>
      </c>
      <c r="BB289">
        <v>2</v>
      </c>
    </row>
    <row r="290" spans="1:54" hidden="1" x14ac:dyDescent="0.3">
      <c r="A290" t="s">
        <v>296</v>
      </c>
      <c r="B290" t="s">
        <v>107</v>
      </c>
      <c r="C290">
        <v>32.816200000000002</v>
      </c>
      <c r="D290">
        <v>-111.28449999999999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2</v>
      </c>
      <c r="AY290">
        <v>2</v>
      </c>
      <c r="AZ290">
        <v>2</v>
      </c>
      <c r="BA290">
        <v>3</v>
      </c>
      <c r="BB290">
        <v>5</v>
      </c>
    </row>
    <row r="291" spans="1:54" hidden="1" x14ac:dyDescent="0.3">
      <c r="A291" t="s">
        <v>297</v>
      </c>
      <c r="B291" t="s">
        <v>107</v>
      </c>
      <c r="C291">
        <v>41.148899999999998</v>
      </c>
      <c r="D291">
        <v>-73.983000000000004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2</v>
      </c>
      <c r="AY291">
        <v>2</v>
      </c>
      <c r="AZ291">
        <v>4</v>
      </c>
      <c r="BA291">
        <v>4</v>
      </c>
      <c r="BB291">
        <v>6</v>
      </c>
    </row>
    <row r="292" spans="1:54" hidden="1" x14ac:dyDescent="0.3">
      <c r="A292" t="s">
        <v>298</v>
      </c>
      <c r="B292" t="s">
        <v>107</v>
      </c>
      <c r="C292">
        <v>43.032400000000003</v>
      </c>
      <c r="D292">
        <v>-73.936000000000007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2</v>
      </c>
      <c r="AY292">
        <v>2</v>
      </c>
      <c r="AZ292">
        <v>2</v>
      </c>
      <c r="BA292">
        <v>2</v>
      </c>
      <c r="BB292">
        <v>2</v>
      </c>
    </row>
    <row r="293" spans="1:54" hidden="1" x14ac:dyDescent="0.3">
      <c r="A293" t="s">
        <v>299</v>
      </c>
      <c r="B293" t="s">
        <v>107</v>
      </c>
      <c r="C293">
        <v>32.795699999999997</v>
      </c>
      <c r="D293">
        <v>-79.784800000000004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1</v>
      </c>
      <c r="AY293">
        <v>1</v>
      </c>
      <c r="AZ293">
        <v>1</v>
      </c>
      <c r="BA293">
        <v>1</v>
      </c>
      <c r="BB293">
        <v>1</v>
      </c>
    </row>
    <row r="294" spans="1:54" hidden="1" x14ac:dyDescent="0.3">
      <c r="A294" t="s">
        <v>300</v>
      </c>
      <c r="B294" t="s">
        <v>107</v>
      </c>
      <c r="C294">
        <v>45.746600000000001</v>
      </c>
      <c r="D294">
        <v>-122.5194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1</v>
      </c>
      <c r="AY294">
        <v>1</v>
      </c>
      <c r="AZ294">
        <v>1</v>
      </c>
      <c r="BA294">
        <v>1</v>
      </c>
      <c r="BB294">
        <v>1</v>
      </c>
    </row>
    <row r="295" spans="1:54" hidden="1" x14ac:dyDescent="0.3">
      <c r="A295" t="s">
        <v>301</v>
      </c>
      <c r="B295" t="s">
        <v>107</v>
      </c>
      <c r="C295">
        <v>33.899900000000002</v>
      </c>
      <c r="D295">
        <v>-84.564099999999996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1</v>
      </c>
      <c r="AY295">
        <v>1</v>
      </c>
      <c r="AZ295">
        <v>3</v>
      </c>
      <c r="BA295">
        <v>4</v>
      </c>
      <c r="BB295">
        <v>7</v>
      </c>
    </row>
    <row r="296" spans="1:54" hidden="1" x14ac:dyDescent="0.3">
      <c r="A296" t="s">
        <v>302</v>
      </c>
      <c r="B296" t="s">
        <v>107</v>
      </c>
      <c r="C296">
        <v>40.962899999999998</v>
      </c>
      <c r="D296">
        <v>-112.09529999999999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1</v>
      </c>
      <c r="AY296">
        <v>1</v>
      </c>
      <c r="AZ296">
        <v>1</v>
      </c>
      <c r="BA296">
        <v>1</v>
      </c>
      <c r="BB296">
        <v>1</v>
      </c>
    </row>
    <row r="297" spans="1:54" hidden="1" x14ac:dyDescent="0.3">
      <c r="A297" t="s">
        <v>303</v>
      </c>
      <c r="B297" t="s">
        <v>107</v>
      </c>
      <c r="C297">
        <v>38.910800000000002</v>
      </c>
      <c r="D297">
        <v>-104.4723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</v>
      </c>
      <c r="AX297">
        <v>1</v>
      </c>
      <c r="AY297">
        <v>1</v>
      </c>
      <c r="AZ297">
        <v>1</v>
      </c>
      <c r="BA297">
        <v>1</v>
      </c>
      <c r="BB297">
        <v>1</v>
      </c>
    </row>
    <row r="298" spans="1:54" hidden="1" x14ac:dyDescent="0.3">
      <c r="A298" t="s">
        <v>304</v>
      </c>
      <c r="B298" t="s">
        <v>107</v>
      </c>
      <c r="C298">
        <v>21.306999999999999</v>
      </c>
      <c r="D298">
        <v>-157.85839999999999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1</v>
      </c>
      <c r="AY298">
        <v>1</v>
      </c>
      <c r="AZ298">
        <v>1</v>
      </c>
      <c r="BA298">
        <v>2</v>
      </c>
      <c r="BB298">
        <v>2</v>
      </c>
    </row>
    <row r="299" spans="1:54" hidden="1" x14ac:dyDescent="0.3">
      <c r="A299" t="s">
        <v>305</v>
      </c>
      <c r="B299" t="s">
        <v>107</v>
      </c>
      <c r="C299">
        <v>42.334499999999998</v>
      </c>
      <c r="D299">
        <v>-122.7647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1</v>
      </c>
      <c r="AY299">
        <v>2</v>
      </c>
      <c r="AZ299">
        <v>2</v>
      </c>
      <c r="BA299">
        <v>2</v>
      </c>
      <c r="BB299">
        <v>2</v>
      </c>
    </row>
    <row r="300" spans="1:54" hidden="1" x14ac:dyDescent="0.3">
      <c r="A300" t="s">
        <v>306</v>
      </c>
      <c r="B300" t="s">
        <v>107</v>
      </c>
      <c r="C300">
        <v>47.7425</v>
      </c>
      <c r="D300">
        <v>-123.304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0</v>
      </c>
      <c r="AX300">
        <v>1</v>
      </c>
      <c r="AY300">
        <v>1</v>
      </c>
      <c r="AZ300">
        <v>1</v>
      </c>
      <c r="BA300">
        <v>1</v>
      </c>
      <c r="BB300">
        <v>1</v>
      </c>
    </row>
    <row r="301" spans="1:54" hidden="1" x14ac:dyDescent="0.3">
      <c r="A301" t="s">
        <v>307</v>
      </c>
      <c r="B301" t="s">
        <v>107</v>
      </c>
      <c r="C301">
        <v>34.367199999999997</v>
      </c>
      <c r="D301">
        <v>-80.588300000000004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1</v>
      </c>
      <c r="AY301">
        <v>1</v>
      </c>
      <c r="AZ301">
        <v>1</v>
      </c>
      <c r="BA301">
        <v>1</v>
      </c>
      <c r="BB301">
        <v>3</v>
      </c>
    </row>
    <row r="302" spans="1:54" hidden="1" x14ac:dyDescent="0.3">
      <c r="A302" t="s">
        <v>308</v>
      </c>
      <c r="B302" t="s">
        <v>107</v>
      </c>
      <c r="C302">
        <v>42.695300000000003</v>
      </c>
      <c r="D302">
        <v>-121.6142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0</v>
      </c>
      <c r="AW302">
        <v>0</v>
      </c>
      <c r="AX302">
        <v>1</v>
      </c>
      <c r="AY302">
        <v>1</v>
      </c>
      <c r="AZ302">
        <v>1</v>
      </c>
      <c r="BA302">
        <v>1</v>
      </c>
      <c r="BB302">
        <v>1</v>
      </c>
    </row>
    <row r="303" spans="1:54" hidden="1" x14ac:dyDescent="0.3">
      <c r="A303" t="s">
        <v>309</v>
      </c>
      <c r="B303" t="s">
        <v>107</v>
      </c>
      <c r="C303">
        <v>37.251899999999999</v>
      </c>
      <c r="D303">
        <v>-119.69629999999999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0</v>
      </c>
      <c r="AW303">
        <v>0</v>
      </c>
      <c r="AX303">
        <v>1</v>
      </c>
      <c r="AY303">
        <v>1</v>
      </c>
      <c r="AZ303">
        <v>1</v>
      </c>
      <c r="BA303">
        <v>1</v>
      </c>
      <c r="BB303">
        <v>1</v>
      </c>
    </row>
    <row r="304" spans="1:54" hidden="1" x14ac:dyDescent="0.3">
      <c r="A304" t="s">
        <v>310</v>
      </c>
      <c r="B304" t="s">
        <v>107</v>
      </c>
      <c r="C304">
        <v>47.067599999999999</v>
      </c>
      <c r="D304">
        <v>-122.12949999999999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0</v>
      </c>
      <c r="AX304">
        <v>1</v>
      </c>
      <c r="AY304">
        <v>4</v>
      </c>
      <c r="AZ304">
        <v>4</v>
      </c>
      <c r="BA304">
        <v>4</v>
      </c>
      <c r="BB304">
        <v>14</v>
      </c>
    </row>
    <row r="305" spans="1:54" hidden="1" x14ac:dyDescent="0.3">
      <c r="A305" t="s">
        <v>311</v>
      </c>
      <c r="B305" t="s">
        <v>107</v>
      </c>
      <c r="C305">
        <v>36.159300000000002</v>
      </c>
      <c r="D305">
        <v>-95.941000000000003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0</v>
      </c>
      <c r="AX305">
        <v>1</v>
      </c>
      <c r="AY305">
        <v>1</v>
      </c>
      <c r="AZ305">
        <v>1</v>
      </c>
      <c r="BA305">
        <v>2</v>
      </c>
      <c r="BB305">
        <v>2</v>
      </c>
    </row>
    <row r="306" spans="1:54" hidden="1" x14ac:dyDescent="0.3">
      <c r="A306" t="s">
        <v>312</v>
      </c>
      <c r="B306" t="s">
        <v>107</v>
      </c>
      <c r="C306">
        <v>39.258699999999997</v>
      </c>
      <c r="D306">
        <v>-104.9389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0</v>
      </c>
      <c r="AW306">
        <v>0</v>
      </c>
      <c r="AX306">
        <v>3</v>
      </c>
      <c r="AY306">
        <v>3</v>
      </c>
      <c r="AZ306">
        <v>3</v>
      </c>
      <c r="BA306">
        <v>3</v>
      </c>
      <c r="BB306">
        <v>3</v>
      </c>
    </row>
    <row r="307" spans="1:54" hidden="1" x14ac:dyDescent="0.3">
      <c r="A307" t="s">
        <v>313</v>
      </c>
      <c r="B307" t="s">
        <v>107</v>
      </c>
      <c r="C307">
        <v>41.888199999999998</v>
      </c>
      <c r="D307">
        <v>-71.477400000000003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1</v>
      </c>
      <c r="AS307">
        <v>2</v>
      </c>
      <c r="AT307">
        <v>2</v>
      </c>
      <c r="AU307">
        <v>2</v>
      </c>
      <c r="AV307">
        <v>2</v>
      </c>
      <c r="AW307">
        <v>2</v>
      </c>
      <c r="AX307">
        <v>3</v>
      </c>
      <c r="AY307">
        <v>3</v>
      </c>
      <c r="AZ307">
        <v>3</v>
      </c>
      <c r="BA307">
        <v>3</v>
      </c>
      <c r="BB307">
        <v>5</v>
      </c>
    </row>
    <row r="308" spans="1:54" hidden="1" x14ac:dyDescent="0.3">
      <c r="A308" t="s">
        <v>314</v>
      </c>
      <c r="B308" t="s">
        <v>107</v>
      </c>
      <c r="C308">
        <v>35.7211</v>
      </c>
      <c r="D308">
        <v>-79.178100000000001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0</v>
      </c>
      <c r="AV308">
        <v>0</v>
      </c>
      <c r="AW308">
        <v>1</v>
      </c>
      <c r="AX308">
        <v>1</v>
      </c>
      <c r="AY308">
        <v>1</v>
      </c>
      <c r="AZ308">
        <v>1</v>
      </c>
      <c r="BA308">
        <v>1</v>
      </c>
      <c r="BB308">
        <v>1</v>
      </c>
    </row>
    <row r="309" spans="1:54" hidden="1" x14ac:dyDescent="0.3">
      <c r="A309" t="s">
        <v>315</v>
      </c>
      <c r="B309" t="s">
        <v>107</v>
      </c>
      <c r="C309">
        <v>39.907800000000002</v>
      </c>
      <c r="D309">
        <v>-75.387900000000002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1</v>
      </c>
      <c r="AX309">
        <v>1</v>
      </c>
      <c r="AY309">
        <v>1</v>
      </c>
      <c r="AZ309">
        <v>1</v>
      </c>
      <c r="BA309">
        <v>1</v>
      </c>
      <c r="BB309">
        <v>1</v>
      </c>
    </row>
    <row r="310" spans="1:54" hidden="1" x14ac:dyDescent="0.3">
      <c r="A310" t="s">
        <v>316</v>
      </c>
      <c r="B310" t="s">
        <v>107</v>
      </c>
      <c r="C310">
        <v>41.314799999999998</v>
      </c>
      <c r="D310">
        <v>-96.195099999999996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0</v>
      </c>
      <c r="AW310">
        <v>1</v>
      </c>
      <c r="AX310">
        <v>1</v>
      </c>
      <c r="AY310">
        <v>1</v>
      </c>
      <c r="AZ310">
        <v>3</v>
      </c>
      <c r="BA310">
        <v>3</v>
      </c>
      <c r="BB310">
        <v>4</v>
      </c>
    </row>
    <row r="311" spans="1:54" hidden="1" x14ac:dyDescent="0.3">
      <c r="A311" t="s">
        <v>317</v>
      </c>
      <c r="B311" t="s">
        <v>107</v>
      </c>
      <c r="C311">
        <v>38.060600000000001</v>
      </c>
      <c r="D311">
        <v>-84.4803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0</v>
      </c>
      <c r="AW311">
        <v>1</v>
      </c>
      <c r="AX311">
        <v>1</v>
      </c>
      <c r="AY311">
        <v>1</v>
      </c>
      <c r="AZ311">
        <v>1</v>
      </c>
      <c r="BA311">
        <v>2</v>
      </c>
      <c r="BB311">
        <v>2</v>
      </c>
    </row>
    <row r="312" spans="1:54" hidden="1" x14ac:dyDescent="0.3">
      <c r="A312" t="s">
        <v>318</v>
      </c>
      <c r="B312" t="s">
        <v>107</v>
      </c>
      <c r="C312">
        <v>39.836199999999998</v>
      </c>
      <c r="D312">
        <v>-86.175200000000004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1</v>
      </c>
      <c r="AX312">
        <v>1</v>
      </c>
      <c r="AY312">
        <v>1</v>
      </c>
      <c r="AZ312">
        <v>1</v>
      </c>
      <c r="BA312">
        <v>1</v>
      </c>
      <c r="BB312">
        <v>1</v>
      </c>
    </row>
    <row r="313" spans="1:54" hidden="1" x14ac:dyDescent="0.3">
      <c r="A313" t="s">
        <v>319</v>
      </c>
      <c r="B313" t="s">
        <v>107</v>
      </c>
      <c r="C313">
        <v>42.467199999999998</v>
      </c>
      <c r="D313">
        <v>-71.287400000000005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1</v>
      </c>
      <c r="AX313">
        <v>1</v>
      </c>
      <c r="AY313">
        <v>7</v>
      </c>
      <c r="AZ313">
        <v>7</v>
      </c>
      <c r="BA313">
        <v>15</v>
      </c>
      <c r="BB313">
        <v>41</v>
      </c>
    </row>
    <row r="314" spans="1:54" hidden="1" x14ac:dyDescent="0.3">
      <c r="A314" t="s">
        <v>320</v>
      </c>
      <c r="B314" t="s">
        <v>107</v>
      </c>
      <c r="C314">
        <v>40.654600000000002</v>
      </c>
      <c r="D314">
        <v>-73.559399999999997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0</v>
      </c>
      <c r="AV314">
        <v>1</v>
      </c>
      <c r="AW314">
        <v>1</v>
      </c>
      <c r="AX314">
        <v>4</v>
      </c>
      <c r="AY314">
        <v>5</v>
      </c>
      <c r="AZ314">
        <v>17</v>
      </c>
      <c r="BA314">
        <v>19</v>
      </c>
      <c r="BB314">
        <v>28</v>
      </c>
    </row>
    <row r="315" spans="1:54" hidden="1" x14ac:dyDescent="0.3">
      <c r="A315" t="s">
        <v>321</v>
      </c>
      <c r="B315" t="s">
        <v>107</v>
      </c>
      <c r="C315">
        <v>44.996400000000001</v>
      </c>
      <c r="D315">
        <v>-93.061599999999999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1</v>
      </c>
      <c r="AX315">
        <v>1</v>
      </c>
      <c r="AY315">
        <v>1</v>
      </c>
      <c r="AZ315">
        <v>1</v>
      </c>
      <c r="BA315">
        <v>1</v>
      </c>
      <c r="BB315">
        <v>2</v>
      </c>
    </row>
    <row r="316" spans="1:54" hidden="1" x14ac:dyDescent="0.3">
      <c r="A316" t="s">
        <v>322</v>
      </c>
      <c r="B316" t="s">
        <v>107</v>
      </c>
      <c r="C316">
        <v>40.5608</v>
      </c>
      <c r="D316">
        <v>-119.6035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1</v>
      </c>
      <c r="AX316">
        <v>1</v>
      </c>
      <c r="AY316">
        <v>2</v>
      </c>
      <c r="AZ316">
        <v>2</v>
      </c>
      <c r="BA316">
        <v>2</v>
      </c>
      <c r="BB316">
        <v>2</v>
      </c>
    </row>
    <row r="317" spans="1:54" hidden="1" x14ac:dyDescent="0.3">
      <c r="A317" t="s">
        <v>323</v>
      </c>
      <c r="B317" t="s">
        <v>107</v>
      </c>
      <c r="C317">
        <v>41.673900000000003</v>
      </c>
      <c r="D317">
        <v>-75.247900000000001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1</v>
      </c>
      <c r="AX317">
        <v>1</v>
      </c>
      <c r="AY317">
        <v>1</v>
      </c>
      <c r="AZ317">
        <v>1</v>
      </c>
      <c r="BA317">
        <v>1</v>
      </c>
      <c r="BB317">
        <v>1</v>
      </c>
    </row>
    <row r="318" spans="1:54" hidden="1" x14ac:dyDescent="0.3">
      <c r="A318" t="s">
        <v>324</v>
      </c>
      <c r="B318" t="s">
        <v>107</v>
      </c>
      <c r="C318">
        <v>38.764600000000002</v>
      </c>
      <c r="D318">
        <v>-121.90179999999999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0</v>
      </c>
      <c r="AW318">
        <v>1</v>
      </c>
      <c r="AX318">
        <v>1</v>
      </c>
      <c r="AY318">
        <v>1</v>
      </c>
      <c r="AZ318">
        <v>1</v>
      </c>
      <c r="BA318">
        <v>1</v>
      </c>
      <c r="BB318">
        <v>1</v>
      </c>
    </row>
    <row r="319" spans="1:54" hidden="1" x14ac:dyDescent="0.3">
      <c r="A319" t="s">
        <v>325</v>
      </c>
      <c r="B319" t="s">
        <v>107</v>
      </c>
      <c r="C319">
        <v>37.354100000000003</v>
      </c>
      <c r="D319">
        <v>-121.9552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1</v>
      </c>
      <c r="O319">
        <v>1</v>
      </c>
      <c r="P319">
        <v>1</v>
      </c>
      <c r="Q319">
        <v>2</v>
      </c>
      <c r="R319">
        <v>2</v>
      </c>
      <c r="S319">
        <v>2</v>
      </c>
      <c r="T319">
        <v>2</v>
      </c>
      <c r="U319">
        <v>2</v>
      </c>
      <c r="V319">
        <v>2</v>
      </c>
      <c r="W319">
        <v>2</v>
      </c>
      <c r="X319">
        <v>2</v>
      </c>
      <c r="Y319">
        <v>2</v>
      </c>
      <c r="Z319">
        <v>2</v>
      </c>
      <c r="AA319">
        <v>2</v>
      </c>
      <c r="AB319">
        <v>2</v>
      </c>
      <c r="AC319">
        <v>2</v>
      </c>
      <c r="AD319">
        <v>2</v>
      </c>
      <c r="AE319">
        <v>2</v>
      </c>
      <c r="AF319">
        <v>2</v>
      </c>
      <c r="AG319">
        <v>2</v>
      </c>
      <c r="AH319">
        <v>2</v>
      </c>
      <c r="AI319">
        <v>2</v>
      </c>
      <c r="AJ319">
        <v>2</v>
      </c>
      <c r="AK319">
        <v>2</v>
      </c>
      <c r="AL319">
        <v>2</v>
      </c>
      <c r="AM319">
        <v>2</v>
      </c>
      <c r="AN319">
        <v>2</v>
      </c>
      <c r="AO319">
        <v>2</v>
      </c>
      <c r="AP319">
        <v>2</v>
      </c>
      <c r="AQ319">
        <v>3</v>
      </c>
      <c r="AR319">
        <v>3</v>
      </c>
      <c r="AS319">
        <v>9</v>
      </c>
      <c r="AT319">
        <v>11</v>
      </c>
      <c r="AU319">
        <v>11</v>
      </c>
      <c r="AV319">
        <v>20</v>
      </c>
      <c r="AW319">
        <v>20</v>
      </c>
      <c r="AX319">
        <v>32</v>
      </c>
      <c r="AY319">
        <v>38</v>
      </c>
      <c r="AZ319">
        <v>38</v>
      </c>
      <c r="BA319">
        <v>43</v>
      </c>
      <c r="BB319">
        <v>48</v>
      </c>
    </row>
    <row r="320" spans="1:54" hidden="1" x14ac:dyDescent="0.3">
      <c r="A320" t="s">
        <v>326</v>
      </c>
      <c r="B320" t="s">
        <v>107</v>
      </c>
      <c r="C320">
        <v>36.079599999999999</v>
      </c>
      <c r="D320">
        <v>-115.09399999999999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1</v>
      </c>
      <c r="AW320">
        <v>1</v>
      </c>
      <c r="AX320">
        <v>1</v>
      </c>
      <c r="AY320">
        <v>2</v>
      </c>
      <c r="AZ320">
        <v>2</v>
      </c>
      <c r="BA320">
        <v>2</v>
      </c>
      <c r="BB320">
        <v>5</v>
      </c>
    </row>
    <row r="321" spans="1:54" hidden="1" x14ac:dyDescent="0.3">
      <c r="A321" t="s">
        <v>327</v>
      </c>
      <c r="B321" t="s">
        <v>107</v>
      </c>
      <c r="C321">
        <v>29.569299999999998</v>
      </c>
      <c r="D321">
        <v>-95.814300000000003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0</v>
      </c>
      <c r="AV321">
        <v>1</v>
      </c>
      <c r="AW321">
        <v>1</v>
      </c>
      <c r="AX321">
        <v>3</v>
      </c>
      <c r="AY321">
        <v>6</v>
      </c>
      <c r="AZ321">
        <v>6</v>
      </c>
      <c r="BA321">
        <v>6</v>
      </c>
      <c r="BB321">
        <v>6</v>
      </c>
    </row>
    <row r="322" spans="1:54" hidden="1" x14ac:dyDescent="0.3">
      <c r="A322" t="s">
        <v>328</v>
      </c>
      <c r="B322" t="s">
        <v>107</v>
      </c>
      <c r="C322">
        <v>47.198099999999997</v>
      </c>
      <c r="D322">
        <v>-119.3732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v>1</v>
      </c>
      <c r="AW322">
        <v>1</v>
      </c>
      <c r="AX322">
        <v>1</v>
      </c>
      <c r="AY322">
        <v>1</v>
      </c>
      <c r="AZ322">
        <v>1</v>
      </c>
      <c r="BA322">
        <v>1</v>
      </c>
      <c r="BB322">
        <v>1</v>
      </c>
    </row>
    <row r="323" spans="1:54" hidden="1" x14ac:dyDescent="0.3">
      <c r="A323" t="s">
        <v>329</v>
      </c>
      <c r="B323" t="s">
        <v>107</v>
      </c>
      <c r="C323">
        <v>30.768999999999998</v>
      </c>
      <c r="D323">
        <v>-86.982399999999998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0</v>
      </c>
      <c r="AQ323">
        <v>0</v>
      </c>
      <c r="AR323">
        <v>0</v>
      </c>
      <c r="AS323">
        <v>0</v>
      </c>
      <c r="AT323">
        <v>0</v>
      </c>
      <c r="AU323">
        <v>0</v>
      </c>
      <c r="AV323">
        <v>1</v>
      </c>
      <c r="AW323">
        <v>1</v>
      </c>
      <c r="AX323">
        <v>1</v>
      </c>
      <c r="AY323">
        <v>1</v>
      </c>
      <c r="AZ323">
        <v>1</v>
      </c>
      <c r="BA323">
        <v>1</v>
      </c>
      <c r="BB323">
        <v>1</v>
      </c>
    </row>
    <row r="324" spans="1:54" hidden="1" x14ac:dyDescent="0.3">
      <c r="A324" t="s">
        <v>330</v>
      </c>
      <c r="B324" t="s">
        <v>107</v>
      </c>
      <c r="C324">
        <v>35.917900000000003</v>
      </c>
      <c r="D324">
        <v>-86.862200000000001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1</v>
      </c>
      <c r="AW324">
        <v>1</v>
      </c>
      <c r="AX324">
        <v>1</v>
      </c>
      <c r="AY324">
        <v>1</v>
      </c>
      <c r="AZ324">
        <v>1</v>
      </c>
      <c r="BA324">
        <v>1</v>
      </c>
      <c r="BB324">
        <v>5</v>
      </c>
    </row>
    <row r="325" spans="1:54" hidden="1" x14ac:dyDescent="0.3">
      <c r="A325" t="s">
        <v>331</v>
      </c>
      <c r="B325" t="s">
        <v>107</v>
      </c>
      <c r="C325">
        <v>40.712800000000001</v>
      </c>
      <c r="D325">
        <v>-74.006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1</v>
      </c>
      <c r="AT325">
        <v>1</v>
      </c>
      <c r="AU325">
        <v>1</v>
      </c>
      <c r="AV325">
        <v>4</v>
      </c>
      <c r="AW325">
        <v>11</v>
      </c>
      <c r="AX325">
        <v>11</v>
      </c>
      <c r="AY325">
        <v>12</v>
      </c>
      <c r="AZ325">
        <v>19</v>
      </c>
      <c r="BA325">
        <v>25</v>
      </c>
      <c r="BB325">
        <v>55</v>
      </c>
    </row>
    <row r="326" spans="1:54" hidden="1" x14ac:dyDescent="0.3">
      <c r="A326" t="s">
        <v>332</v>
      </c>
      <c r="B326" t="s">
        <v>107</v>
      </c>
      <c r="C326">
        <v>39.154699999999998</v>
      </c>
      <c r="D326">
        <v>-77.240499999999997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0</v>
      </c>
      <c r="AV326">
        <v>0</v>
      </c>
      <c r="AW326">
        <v>3</v>
      </c>
      <c r="AX326">
        <v>3</v>
      </c>
      <c r="AY326">
        <v>4</v>
      </c>
      <c r="AZ326">
        <v>4</v>
      </c>
      <c r="BA326">
        <v>4</v>
      </c>
      <c r="BB326">
        <v>5</v>
      </c>
    </row>
    <row r="327" spans="1:54" hidden="1" x14ac:dyDescent="0.3">
      <c r="A327" t="s">
        <v>333</v>
      </c>
      <c r="B327" t="s">
        <v>107</v>
      </c>
      <c r="C327">
        <v>42.360100000000003</v>
      </c>
      <c r="D327">
        <v>-71.058899999999994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1</v>
      </c>
      <c r="P327">
        <v>1</v>
      </c>
      <c r="Q327">
        <v>1</v>
      </c>
      <c r="R327">
        <v>1</v>
      </c>
      <c r="S327">
        <v>1</v>
      </c>
      <c r="T327">
        <v>1</v>
      </c>
      <c r="U327">
        <v>1</v>
      </c>
      <c r="V327">
        <v>1</v>
      </c>
      <c r="W327">
        <v>1</v>
      </c>
      <c r="X327">
        <v>1</v>
      </c>
      <c r="Y327">
        <v>1</v>
      </c>
      <c r="Z327">
        <v>1</v>
      </c>
      <c r="AA327">
        <v>1</v>
      </c>
      <c r="AB327">
        <v>1</v>
      </c>
      <c r="AC327">
        <v>1</v>
      </c>
      <c r="AD327">
        <v>1</v>
      </c>
      <c r="AE327">
        <v>1</v>
      </c>
      <c r="AF327">
        <v>1</v>
      </c>
      <c r="AG327">
        <v>1</v>
      </c>
      <c r="AH327">
        <v>1</v>
      </c>
      <c r="AI327">
        <v>1</v>
      </c>
      <c r="AJ327">
        <v>1</v>
      </c>
      <c r="AK327">
        <v>1</v>
      </c>
      <c r="AL327">
        <v>1</v>
      </c>
      <c r="AM327">
        <v>1</v>
      </c>
      <c r="AN327">
        <v>1</v>
      </c>
      <c r="AO327">
        <v>1</v>
      </c>
      <c r="AP327">
        <v>1</v>
      </c>
      <c r="AQ327">
        <v>1</v>
      </c>
      <c r="AR327">
        <v>1</v>
      </c>
      <c r="AS327">
        <v>1</v>
      </c>
      <c r="AT327">
        <v>1</v>
      </c>
      <c r="AU327">
        <v>1</v>
      </c>
      <c r="AV327">
        <v>1</v>
      </c>
      <c r="AW327">
        <v>3</v>
      </c>
      <c r="AX327">
        <v>3</v>
      </c>
      <c r="AY327">
        <v>8</v>
      </c>
      <c r="AZ327">
        <v>8</v>
      </c>
      <c r="BA327">
        <v>10</v>
      </c>
      <c r="BB327">
        <v>20</v>
      </c>
    </row>
    <row r="328" spans="1:54" hidden="1" x14ac:dyDescent="0.3">
      <c r="A328" t="s">
        <v>334</v>
      </c>
      <c r="B328" t="s">
        <v>107</v>
      </c>
      <c r="C328">
        <v>39.739199999999997</v>
      </c>
      <c r="D328">
        <v>-104.9903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0</v>
      </c>
      <c r="AS328">
        <v>0</v>
      </c>
      <c r="AT328">
        <v>0</v>
      </c>
      <c r="AU328">
        <v>0</v>
      </c>
      <c r="AV328">
        <v>0</v>
      </c>
      <c r="AW328">
        <v>2</v>
      </c>
      <c r="AX328">
        <v>2</v>
      </c>
      <c r="AY328">
        <v>2</v>
      </c>
      <c r="AZ328">
        <v>2</v>
      </c>
      <c r="BA328">
        <v>3</v>
      </c>
      <c r="BB328">
        <v>6</v>
      </c>
    </row>
    <row r="329" spans="1:54" hidden="1" x14ac:dyDescent="0.3">
      <c r="A329" t="s">
        <v>335</v>
      </c>
      <c r="B329" t="s">
        <v>107</v>
      </c>
      <c r="C329">
        <v>39.591200000000001</v>
      </c>
      <c r="D329">
        <v>-106.06399999999999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0</v>
      </c>
      <c r="AQ329">
        <v>0</v>
      </c>
      <c r="AR329">
        <v>0</v>
      </c>
      <c r="AS329">
        <v>0</v>
      </c>
      <c r="AT329">
        <v>0</v>
      </c>
      <c r="AU329">
        <v>0</v>
      </c>
      <c r="AV329">
        <v>0</v>
      </c>
      <c r="AW329">
        <v>1</v>
      </c>
      <c r="AX329">
        <v>1</v>
      </c>
      <c r="AY329">
        <v>1</v>
      </c>
      <c r="AZ329">
        <v>1</v>
      </c>
      <c r="BA329">
        <v>1</v>
      </c>
      <c r="BB329">
        <v>1</v>
      </c>
    </row>
    <row r="330" spans="1:54" hidden="1" x14ac:dyDescent="0.3">
      <c r="A330" t="s">
        <v>336</v>
      </c>
      <c r="B330" t="s">
        <v>107</v>
      </c>
      <c r="C330">
        <v>40.926299999999998</v>
      </c>
      <c r="D330">
        <v>-74.076999999999998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0</v>
      </c>
      <c r="AS330">
        <v>0</v>
      </c>
      <c r="AT330">
        <v>0</v>
      </c>
      <c r="AU330">
        <v>0</v>
      </c>
      <c r="AV330">
        <v>2</v>
      </c>
      <c r="AW330">
        <v>2</v>
      </c>
      <c r="AX330">
        <v>4</v>
      </c>
      <c r="AY330">
        <v>4</v>
      </c>
      <c r="AZ330">
        <v>4</v>
      </c>
      <c r="BA330">
        <v>7</v>
      </c>
      <c r="BB330">
        <v>11</v>
      </c>
    </row>
    <row r="331" spans="1:54" hidden="1" x14ac:dyDescent="0.3">
      <c r="A331" t="s">
        <v>337</v>
      </c>
      <c r="B331" t="s">
        <v>107</v>
      </c>
      <c r="C331">
        <v>29.775200000000002</v>
      </c>
      <c r="D331">
        <v>-95.310299999999998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0</v>
      </c>
      <c r="AS331">
        <v>0</v>
      </c>
      <c r="AT331">
        <v>0</v>
      </c>
      <c r="AU331">
        <v>0</v>
      </c>
      <c r="AV331">
        <v>2</v>
      </c>
      <c r="AW331">
        <v>3</v>
      </c>
      <c r="AX331">
        <v>5</v>
      </c>
      <c r="AY331">
        <v>5</v>
      </c>
      <c r="AZ331">
        <v>6</v>
      </c>
      <c r="BA331">
        <v>6</v>
      </c>
      <c r="BB331">
        <v>7</v>
      </c>
    </row>
    <row r="332" spans="1:54" hidden="1" x14ac:dyDescent="0.3">
      <c r="A332" t="s">
        <v>338</v>
      </c>
      <c r="B332" t="s">
        <v>107</v>
      </c>
      <c r="C332">
        <v>37.774900000000002</v>
      </c>
      <c r="D332">
        <v>-122.4194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0</v>
      </c>
      <c r="AQ332">
        <v>0</v>
      </c>
      <c r="AR332">
        <v>0</v>
      </c>
      <c r="AS332">
        <v>0</v>
      </c>
      <c r="AT332">
        <v>0</v>
      </c>
      <c r="AU332">
        <v>0</v>
      </c>
      <c r="AV332">
        <v>2</v>
      </c>
      <c r="AW332">
        <v>2</v>
      </c>
      <c r="AX332">
        <v>9</v>
      </c>
      <c r="AY332">
        <v>9</v>
      </c>
      <c r="AZ332">
        <v>9</v>
      </c>
      <c r="BA332">
        <v>14</v>
      </c>
      <c r="BB332">
        <v>14</v>
      </c>
    </row>
    <row r="333" spans="1:54" hidden="1" x14ac:dyDescent="0.3">
      <c r="A333" t="s">
        <v>339</v>
      </c>
      <c r="B333" t="s">
        <v>107</v>
      </c>
      <c r="C333">
        <v>37.853400000000001</v>
      </c>
      <c r="D333">
        <v>-121.90179999999999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0</v>
      </c>
      <c r="AQ333">
        <v>0</v>
      </c>
      <c r="AR333">
        <v>0</v>
      </c>
      <c r="AS333">
        <v>0</v>
      </c>
      <c r="AT333">
        <v>0</v>
      </c>
      <c r="AU333">
        <v>1</v>
      </c>
      <c r="AV333">
        <v>1</v>
      </c>
      <c r="AW333">
        <v>3</v>
      </c>
      <c r="AX333">
        <v>3</v>
      </c>
      <c r="AY333">
        <v>9</v>
      </c>
      <c r="AZ333">
        <v>9</v>
      </c>
      <c r="BA333">
        <v>9</v>
      </c>
      <c r="BB333">
        <v>10</v>
      </c>
    </row>
    <row r="334" spans="1:54" hidden="1" x14ac:dyDescent="0.3">
      <c r="A334" t="s">
        <v>340</v>
      </c>
      <c r="B334" t="s">
        <v>107</v>
      </c>
      <c r="C334">
        <v>33.7879</v>
      </c>
      <c r="D334">
        <v>-117.8531</v>
      </c>
      <c r="E334">
        <v>0</v>
      </c>
      <c r="F334">
        <v>0</v>
      </c>
      <c r="G334">
        <v>0</v>
      </c>
      <c r="H334">
        <v>0</v>
      </c>
      <c r="I334">
        <v>1</v>
      </c>
      <c r="J334">
        <v>1</v>
      </c>
      <c r="K334">
        <v>1</v>
      </c>
      <c r="L334">
        <v>1</v>
      </c>
      <c r="M334">
        <v>1</v>
      </c>
      <c r="N334">
        <v>1</v>
      </c>
      <c r="O334">
        <v>1</v>
      </c>
      <c r="P334">
        <v>1</v>
      </c>
      <c r="Q334">
        <v>1</v>
      </c>
      <c r="R334">
        <v>1</v>
      </c>
      <c r="S334">
        <v>1</v>
      </c>
      <c r="T334">
        <v>1</v>
      </c>
      <c r="U334">
        <v>1</v>
      </c>
      <c r="V334">
        <v>1</v>
      </c>
      <c r="W334">
        <v>1</v>
      </c>
      <c r="X334">
        <v>1</v>
      </c>
      <c r="Y334">
        <v>1</v>
      </c>
      <c r="Z334">
        <v>1</v>
      </c>
      <c r="AA334">
        <v>1</v>
      </c>
      <c r="AB334">
        <v>1</v>
      </c>
      <c r="AC334">
        <v>1</v>
      </c>
      <c r="AD334">
        <v>1</v>
      </c>
      <c r="AE334">
        <v>1</v>
      </c>
      <c r="AF334">
        <v>1</v>
      </c>
      <c r="AG334">
        <v>1</v>
      </c>
      <c r="AH334">
        <v>1</v>
      </c>
      <c r="AI334">
        <v>1</v>
      </c>
      <c r="AJ334">
        <v>1</v>
      </c>
      <c r="AK334">
        <v>1</v>
      </c>
      <c r="AL334">
        <v>1</v>
      </c>
      <c r="AM334">
        <v>1</v>
      </c>
      <c r="AN334">
        <v>1</v>
      </c>
      <c r="AO334">
        <v>1</v>
      </c>
      <c r="AP334">
        <v>1</v>
      </c>
      <c r="AQ334">
        <v>1</v>
      </c>
      <c r="AR334">
        <v>1</v>
      </c>
      <c r="AS334">
        <v>1</v>
      </c>
      <c r="AT334">
        <v>1</v>
      </c>
      <c r="AU334">
        <v>3</v>
      </c>
      <c r="AV334">
        <v>3</v>
      </c>
      <c r="AW334">
        <v>3</v>
      </c>
      <c r="AX334">
        <v>3</v>
      </c>
      <c r="AY334">
        <v>3</v>
      </c>
      <c r="AZ334">
        <v>4</v>
      </c>
      <c r="BA334">
        <v>5</v>
      </c>
      <c r="BB334">
        <v>5</v>
      </c>
    </row>
    <row r="335" spans="1:54" hidden="1" x14ac:dyDescent="0.3">
      <c r="A335" t="s">
        <v>341</v>
      </c>
      <c r="B335" t="s">
        <v>107</v>
      </c>
      <c r="C335">
        <v>42.176699999999997</v>
      </c>
      <c r="D335">
        <v>-71.144900000000007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0</v>
      </c>
      <c r="AQ335">
        <v>0</v>
      </c>
      <c r="AR335">
        <v>0</v>
      </c>
      <c r="AS335">
        <v>0</v>
      </c>
      <c r="AT335">
        <v>1</v>
      </c>
      <c r="AU335">
        <v>1</v>
      </c>
      <c r="AV335">
        <v>1</v>
      </c>
      <c r="AW335">
        <v>2</v>
      </c>
      <c r="AX335">
        <v>2</v>
      </c>
      <c r="AY335">
        <v>6</v>
      </c>
      <c r="AZ335">
        <v>6</v>
      </c>
      <c r="BA335">
        <v>10</v>
      </c>
      <c r="BB335">
        <v>22</v>
      </c>
    </row>
    <row r="336" spans="1:54" hidden="1" x14ac:dyDescent="0.3">
      <c r="A336" t="s">
        <v>342</v>
      </c>
      <c r="B336" t="s">
        <v>107</v>
      </c>
      <c r="C336">
        <v>33.291800000000002</v>
      </c>
      <c r="D336">
        <v>-112.42910000000001</v>
      </c>
      <c r="E336">
        <v>0</v>
      </c>
      <c r="F336">
        <v>0</v>
      </c>
      <c r="G336">
        <v>0</v>
      </c>
      <c r="H336">
        <v>0</v>
      </c>
      <c r="I336">
        <v>1</v>
      </c>
      <c r="J336">
        <v>1</v>
      </c>
      <c r="K336">
        <v>1</v>
      </c>
      <c r="L336">
        <v>1</v>
      </c>
      <c r="M336">
        <v>1</v>
      </c>
      <c r="N336">
        <v>1</v>
      </c>
      <c r="O336">
        <v>1</v>
      </c>
      <c r="P336">
        <v>1</v>
      </c>
      <c r="Q336">
        <v>1</v>
      </c>
      <c r="R336">
        <v>1</v>
      </c>
      <c r="S336">
        <v>1</v>
      </c>
      <c r="T336">
        <v>1</v>
      </c>
      <c r="U336">
        <v>1</v>
      </c>
      <c r="V336">
        <v>1</v>
      </c>
      <c r="W336">
        <v>1</v>
      </c>
      <c r="X336">
        <v>1</v>
      </c>
      <c r="Y336">
        <v>1</v>
      </c>
      <c r="Z336">
        <v>1</v>
      </c>
      <c r="AA336">
        <v>1</v>
      </c>
      <c r="AB336">
        <v>1</v>
      </c>
      <c r="AC336">
        <v>1</v>
      </c>
      <c r="AD336">
        <v>1</v>
      </c>
      <c r="AE336">
        <v>1</v>
      </c>
      <c r="AF336">
        <v>1</v>
      </c>
      <c r="AG336">
        <v>1</v>
      </c>
      <c r="AH336">
        <v>1</v>
      </c>
      <c r="AI336">
        <v>1</v>
      </c>
      <c r="AJ336">
        <v>1</v>
      </c>
      <c r="AK336">
        <v>1</v>
      </c>
      <c r="AL336">
        <v>1</v>
      </c>
      <c r="AM336">
        <v>1</v>
      </c>
      <c r="AN336">
        <v>1</v>
      </c>
      <c r="AO336">
        <v>1</v>
      </c>
      <c r="AP336">
        <v>1</v>
      </c>
      <c r="AQ336">
        <v>1</v>
      </c>
      <c r="AR336">
        <v>1</v>
      </c>
      <c r="AS336">
        <v>1</v>
      </c>
      <c r="AT336">
        <v>1</v>
      </c>
      <c r="AU336">
        <v>1</v>
      </c>
      <c r="AV336">
        <v>1</v>
      </c>
      <c r="AW336">
        <v>2</v>
      </c>
      <c r="AX336">
        <v>2</v>
      </c>
      <c r="AY336">
        <v>2</v>
      </c>
      <c r="AZ336">
        <v>2</v>
      </c>
      <c r="BA336">
        <v>2</v>
      </c>
      <c r="BB336">
        <v>3</v>
      </c>
    </row>
    <row r="337" spans="1:54" hidden="1" x14ac:dyDescent="0.3">
      <c r="A337" t="s">
        <v>343</v>
      </c>
      <c r="B337" t="s">
        <v>107</v>
      </c>
      <c r="C337">
        <v>35.803199999999997</v>
      </c>
      <c r="D337">
        <v>-78.566100000000006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0</v>
      </c>
      <c r="AQ337">
        <v>0</v>
      </c>
      <c r="AR337">
        <v>0</v>
      </c>
      <c r="AS337">
        <v>0</v>
      </c>
      <c r="AT337">
        <v>1</v>
      </c>
      <c r="AU337">
        <v>1</v>
      </c>
      <c r="AV337">
        <v>1</v>
      </c>
      <c r="AW337">
        <v>1</v>
      </c>
      <c r="AX337">
        <v>1</v>
      </c>
      <c r="AY337">
        <v>1</v>
      </c>
      <c r="AZ337">
        <v>1</v>
      </c>
      <c r="BA337">
        <v>6</v>
      </c>
      <c r="BB337">
        <v>6</v>
      </c>
    </row>
    <row r="338" spans="1:54" hidden="1" x14ac:dyDescent="0.3">
      <c r="A338" t="s">
        <v>344</v>
      </c>
      <c r="B338" t="s">
        <v>107</v>
      </c>
      <c r="C338">
        <v>41.122</v>
      </c>
      <c r="D338">
        <v>-73.794899999999998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0</v>
      </c>
      <c r="AR338">
        <v>0</v>
      </c>
      <c r="AS338">
        <v>0</v>
      </c>
      <c r="AT338">
        <v>1</v>
      </c>
      <c r="AU338">
        <v>10</v>
      </c>
      <c r="AV338">
        <v>18</v>
      </c>
      <c r="AW338">
        <v>19</v>
      </c>
      <c r="AX338">
        <v>57</v>
      </c>
      <c r="AY338">
        <v>83</v>
      </c>
      <c r="AZ338">
        <v>98</v>
      </c>
      <c r="BA338">
        <v>98</v>
      </c>
      <c r="BB338">
        <v>121</v>
      </c>
    </row>
    <row r="339" spans="1:54" hidden="1" x14ac:dyDescent="0.3">
      <c r="A339" t="s">
        <v>345</v>
      </c>
      <c r="B339" t="s">
        <v>107</v>
      </c>
      <c r="C339">
        <v>43.908799999999999</v>
      </c>
      <c r="D339">
        <v>-71.825999999999993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1</v>
      </c>
      <c r="AT339">
        <v>2</v>
      </c>
      <c r="AU339">
        <v>2</v>
      </c>
      <c r="AV339">
        <v>2</v>
      </c>
      <c r="AW339">
        <v>2</v>
      </c>
      <c r="AX339">
        <v>2</v>
      </c>
      <c r="AY339">
        <v>3</v>
      </c>
      <c r="AZ339">
        <v>3</v>
      </c>
      <c r="BA339">
        <v>3</v>
      </c>
      <c r="BB339">
        <v>3</v>
      </c>
    </row>
    <row r="340" spans="1:54" hidden="1" x14ac:dyDescent="0.3">
      <c r="A340" t="s">
        <v>346</v>
      </c>
      <c r="B340" t="s">
        <v>107</v>
      </c>
      <c r="C340">
        <v>27.990400000000001</v>
      </c>
      <c r="D340">
        <v>-82.3018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0</v>
      </c>
      <c r="AR340">
        <v>0</v>
      </c>
      <c r="AS340">
        <v>1</v>
      </c>
      <c r="AT340">
        <v>2</v>
      </c>
      <c r="AU340">
        <v>2</v>
      </c>
      <c r="AV340">
        <v>2</v>
      </c>
      <c r="AW340">
        <v>2</v>
      </c>
      <c r="AX340">
        <v>2</v>
      </c>
      <c r="AY340">
        <v>2</v>
      </c>
      <c r="AZ340">
        <v>2</v>
      </c>
      <c r="BA340">
        <v>2</v>
      </c>
      <c r="BB340">
        <v>3</v>
      </c>
    </row>
    <row r="341" spans="1:54" hidden="1" x14ac:dyDescent="0.3">
      <c r="A341" t="s">
        <v>347</v>
      </c>
      <c r="B341" t="s">
        <v>107</v>
      </c>
      <c r="C341">
        <v>39.0916</v>
      </c>
      <c r="D341">
        <v>-120.8039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0</v>
      </c>
      <c r="AS341">
        <v>1</v>
      </c>
      <c r="AT341">
        <v>1</v>
      </c>
      <c r="AU341">
        <v>2</v>
      </c>
      <c r="AV341">
        <v>2</v>
      </c>
      <c r="AW341">
        <v>5</v>
      </c>
      <c r="AX341">
        <v>5</v>
      </c>
      <c r="AY341">
        <v>5</v>
      </c>
      <c r="AZ341">
        <v>7</v>
      </c>
      <c r="BA341">
        <v>7</v>
      </c>
      <c r="BB341">
        <v>7</v>
      </c>
    </row>
    <row r="342" spans="1:54" hidden="1" x14ac:dyDescent="0.3">
      <c r="A342" t="s">
        <v>348</v>
      </c>
      <c r="B342" t="s">
        <v>107</v>
      </c>
      <c r="C342">
        <v>37.563000000000002</v>
      </c>
      <c r="D342">
        <v>-122.32550000000001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0</v>
      </c>
      <c r="AS342">
        <v>1</v>
      </c>
      <c r="AT342">
        <v>2</v>
      </c>
      <c r="AU342">
        <v>2</v>
      </c>
      <c r="AV342">
        <v>2</v>
      </c>
      <c r="AW342">
        <v>2</v>
      </c>
      <c r="AX342">
        <v>2</v>
      </c>
      <c r="AY342">
        <v>2</v>
      </c>
      <c r="AZ342">
        <v>2</v>
      </c>
      <c r="BA342">
        <v>8</v>
      </c>
      <c r="BB342">
        <v>15</v>
      </c>
    </row>
    <row r="343" spans="1:54" hidden="1" x14ac:dyDescent="0.3">
      <c r="A343" t="s">
        <v>349</v>
      </c>
      <c r="B343" t="s">
        <v>107</v>
      </c>
      <c r="C343">
        <v>38.578000000000003</v>
      </c>
      <c r="D343">
        <v>-122.9888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0</v>
      </c>
      <c r="AR343">
        <v>0</v>
      </c>
      <c r="AS343">
        <v>1</v>
      </c>
      <c r="AT343">
        <v>1</v>
      </c>
      <c r="AU343">
        <v>1</v>
      </c>
      <c r="AV343">
        <v>1</v>
      </c>
      <c r="AW343">
        <v>1</v>
      </c>
      <c r="AX343">
        <v>1</v>
      </c>
      <c r="AY343">
        <v>1</v>
      </c>
      <c r="AZ343">
        <v>3</v>
      </c>
      <c r="BA343">
        <v>3</v>
      </c>
      <c r="BB343">
        <v>3</v>
      </c>
    </row>
    <row r="344" spans="1:54" hidden="1" x14ac:dyDescent="0.3">
      <c r="A344" t="s">
        <v>350</v>
      </c>
      <c r="B344" t="s">
        <v>107</v>
      </c>
      <c r="C344">
        <v>45.774999999999999</v>
      </c>
      <c r="D344">
        <v>-118.7606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v>0</v>
      </c>
      <c r="AR344">
        <v>0</v>
      </c>
      <c r="AS344">
        <v>1</v>
      </c>
      <c r="AT344">
        <v>1</v>
      </c>
      <c r="AU344">
        <v>1</v>
      </c>
      <c r="AV344">
        <v>1</v>
      </c>
      <c r="AW344">
        <v>1</v>
      </c>
      <c r="AX344">
        <v>1</v>
      </c>
      <c r="AY344">
        <v>1</v>
      </c>
      <c r="AZ344">
        <v>1</v>
      </c>
      <c r="BA344">
        <v>1</v>
      </c>
      <c r="BB344">
        <v>2</v>
      </c>
    </row>
    <row r="345" spans="1:54" hidden="1" x14ac:dyDescent="0.3">
      <c r="A345" t="s">
        <v>351</v>
      </c>
      <c r="B345" t="s">
        <v>107</v>
      </c>
      <c r="C345">
        <v>33.803400000000003</v>
      </c>
      <c r="D345">
        <v>-84.396299999999997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0</v>
      </c>
      <c r="AQ345">
        <v>0</v>
      </c>
      <c r="AR345">
        <v>0</v>
      </c>
      <c r="AS345">
        <v>0</v>
      </c>
      <c r="AT345">
        <v>2</v>
      </c>
      <c r="AU345">
        <v>2</v>
      </c>
      <c r="AV345">
        <v>2</v>
      </c>
      <c r="AW345">
        <v>2</v>
      </c>
      <c r="AX345">
        <v>3</v>
      </c>
      <c r="AY345">
        <v>3</v>
      </c>
      <c r="AZ345">
        <v>5</v>
      </c>
      <c r="BA345">
        <v>5</v>
      </c>
      <c r="BB345">
        <v>7</v>
      </c>
    </row>
    <row r="346" spans="1:54" hidden="1" x14ac:dyDescent="0.3">
      <c r="A346" t="s">
        <v>352</v>
      </c>
      <c r="B346" t="s">
        <v>107</v>
      </c>
      <c r="C346">
        <v>45.546999999999997</v>
      </c>
      <c r="D346">
        <v>-123.1386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0</v>
      </c>
      <c r="AQ346">
        <v>1</v>
      </c>
      <c r="AR346">
        <v>1</v>
      </c>
      <c r="AS346">
        <v>2</v>
      </c>
      <c r="AT346">
        <v>2</v>
      </c>
      <c r="AU346">
        <v>2</v>
      </c>
      <c r="AV346">
        <v>2</v>
      </c>
      <c r="AW346">
        <v>2</v>
      </c>
      <c r="AX346">
        <v>3</v>
      </c>
      <c r="AY346">
        <v>8</v>
      </c>
      <c r="AZ346">
        <v>8</v>
      </c>
      <c r="BA346">
        <v>8</v>
      </c>
      <c r="BB346">
        <v>8</v>
      </c>
    </row>
    <row r="347" spans="1:54" hidden="1" x14ac:dyDescent="0.3">
      <c r="A347" t="s">
        <v>353</v>
      </c>
      <c r="B347" t="s">
        <v>107</v>
      </c>
      <c r="C347">
        <v>48.033000000000001</v>
      </c>
      <c r="D347">
        <v>-121.8339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0</v>
      </c>
      <c r="AQ347">
        <v>1</v>
      </c>
      <c r="AR347">
        <v>2</v>
      </c>
      <c r="AS347">
        <v>4</v>
      </c>
      <c r="AT347">
        <v>6</v>
      </c>
      <c r="AU347">
        <v>8</v>
      </c>
      <c r="AV347">
        <v>18</v>
      </c>
      <c r="AW347">
        <v>19</v>
      </c>
      <c r="AX347">
        <v>27</v>
      </c>
      <c r="AY347">
        <v>31</v>
      </c>
      <c r="AZ347">
        <v>31</v>
      </c>
      <c r="BA347">
        <v>37</v>
      </c>
      <c r="BB347">
        <v>68</v>
      </c>
    </row>
    <row r="348" spans="1:54" hidden="1" x14ac:dyDescent="0.3">
      <c r="A348" t="s">
        <v>354</v>
      </c>
      <c r="B348" t="s">
        <v>107</v>
      </c>
      <c r="C348">
        <v>40.744999999999997</v>
      </c>
      <c r="D348">
        <v>-123.8695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1</v>
      </c>
      <c r="AJ348">
        <v>1</v>
      </c>
      <c r="AK348">
        <v>1</v>
      </c>
      <c r="AL348">
        <v>1</v>
      </c>
      <c r="AM348">
        <v>1</v>
      </c>
      <c r="AN348">
        <v>1</v>
      </c>
      <c r="AO348">
        <v>1</v>
      </c>
      <c r="AP348">
        <v>1</v>
      </c>
      <c r="AQ348">
        <v>1</v>
      </c>
      <c r="AR348">
        <v>1</v>
      </c>
      <c r="AS348">
        <v>1</v>
      </c>
      <c r="AT348">
        <v>1</v>
      </c>
      <c r="AU348">
        <v>1</v>
      </c>
      <c r="AV348">
        <v>1</v>
      </c>
      <c r="AW348">
        <v>1</v>
      </c>
      <c r="AX348">
        <v>1</v>
      </c>
      <c r="AY348">
        <v>1</v>
      </c>
      <c r="AZ348">
        <v>1</v>
      </c>
      <c r="BA348">
        <v>1</v>
      </c>
      <c r="BB348">
        <v>1</v>
      </c>
    </row>
    <row r="349" spans="1:54" hidden="1" x14ac:dyDescent="0.3">
      <c r="A349" t="s">
        <v>355</v>
      </c>
      <c r="B349" t="s">
        <v>107</v>
      </c>
      <c r="C349">
        <v>38.474699999999999</v>
      </c>
      <c r="D349">
        <v>-121.35420000000001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1</v>
      </c>
      <c r="AJ349">
        <v>1</v>
      </c>
      <c r="AK349">
        <v>1</v>
      </c>
      <c r="AL349">
        <v>1</v>
      </c>
      <c r="AM349">
        <v>1</v>
      </c>
      <c r="AN349">
        <v>1</v>
      </c>
      <c r="AO349">
        <v>2</v>
      </c>
      <c r="AP349">
        <v>2</v>
      </c>
      <c r="AQ349">
        <v>2</v>
      </c>
      <c r="AR349">
        <v>2</v>
      </c>
      <c r="AS349">
        <v>2</v>
      </c>
      <c r="AT349">
        <v>2</v>
      </c>
      <c r="AU349">
        <v>2</v>
      </c>
      <c r="AV349">
        <v>2</v>
      </c>
      <c r="AW349">
        <v>2</v>
      </c>
      <c r="AX349">
        <v>2</v>
      </c>
      <c r="AY349">
        <v>2</v>
      </c>
      <c r="AZ349">
        <v>2</v>
      </c>
      <c r="BA349">
        <v>10</v>
      </c>
      <c r="BB349">
        <v>11</v>
      </c>
    </row>
    <row r="350" spans="1:54" hidden="1" x14ac:dyDescent="0.3">
      <c r="A350" t="s">
        <v>356</v>
      </c>
      <c r="B350" t="s">
        <v>107</v>
      </c>
      <c r="C350">
        <v>32.715699999999998</v>
      </c>
      <c r="D350">
        <v>-117.1611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1</v>
      </c>
      <c r="Z350">
        <v>1</v>
      </c>
      <c r="AA350">
        <v>2</v>
      </c>
      <c r="AB350">
        <v>2</v>
      </c>
      <c r="AC350">
        <v>2</v>
      </c>
      <c r="AD350">
        <v>2</v>
      </c>
      <c r="AE350">
        <v>2</v>
      </c>
      <c r="AF350">
        <v>2</v>
      </c>
      <c r="AG350">
        <v>2</v>
      </c>
      <c r="AH350">
        <v>2</v>
      </c>
      <c r="AI350">
        <v>2</v>
      </c>
      <c r="AJ350">
        <v>2</v>
      </c>
      <c r="AK350">
        <v>2</v>
      </c>
      <c r="AL350">
        <v>2</v>
      </c>
      <c r="AM350">
        <v>2</v>
      </c>
      <c r="AN350">
        <v>2</v>
      </c>
      <c r="AO350">
        <v>2</v>
      </c>
      <c r="AP350">
        <v>2</v>
      </c>
      <c r="AQ350">
        <v>2</v>
      </c>
      <c r="AR350">
        <v>2</v>
      </c>
      <c r="AS350">
        <v>2</v>
      </c>
      <c r="AT350">
        <v>2</v>
      </c>
      <c r="AU350">
        <v>2</v>
      </c>
      <c r="AV350">
        <v>3</v>
      </c>
      <c r="AW350">
        <v>3</v>
      </c>
      <c r="AX350">
        <v>3</v>
      </c>
      <c r="AY350">
        <v>3</v>
      </c>
      <c r="AZ350">
        <v>3</v>
      </c>
      <c r="BA350">
        <v>3</v>
      </c>
      <c r="BB350">
        <v>3</v>
      </c>
    </row>
    <row r="351" spans="1:54" hidden="1" x14ac:dyDescent="0.3">
      <c r="A351" t="s">
        <v>357</v>
      </c>
      <c r="B351" t="s">
        <v>107</v>
      </c>
      <c r="C351">
        <v>36.576099999999997</v>
      </c>
      <c r="D351">
        <v>-120.9876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2</v>
      </c>
      <c r="R351">
        <v>2</v>
      </c>
      <c r="S351">
        <v>2</v>
      </c>
      <c r="T351">
        <v>2</v>
      </c>
      <c r="U351">
        <v>2</v>
      </c>
      <c r="V351">
        <v>2</v>
      </c>
      <c r="W351">
        <v>2</v>
      </c>
      <c r="X351">
        <v>2</v>
      </c>
      <c r="Y351">
        <v>2</v>
      </c>
      <c r="Z351">
        <v>2</v>
      </c>
      <c r="AA351">
        <v>2</v>
      </c>
      <c r="AB351">
        <v>2</v>
      </c>
      <c r="AC351">
        <v>2</v>
      </c>
      <c r="AD351">
        <v>2</v>
      </c>
      <c r="AE351">
        <v>2</v>
      </c>
      <c r="AF351">
        <v>2</v>
      </c>
      <c r="AG351">
        <v>2</v>
      </c>
      <c r="AH351">
        <v>2</v>
      </c>
      <c r="AI351">
        <v>2</v>
      </c>
      <c r="AJ351">
        <v>2</v>
      </c>
      <c r="AK351">
        <v>2</v>
      </c>
      <c r="AL351">
        <v>2</v>
      </c>
      <c r="AM351">
        <v>2</v>
      </c>
      <c r="AN351">
        <v>2</v>
      </c>
      <c r="AO351">
        <v>2</v>
      </c>
      <c r="AP351">
        <v>2</v>
      </c>
      <c r="AQ351">
        <v>2</v>
      </c>
      <c r="AR351">
        <v>2</v>
      </c>
      <c r="AS351">
        <v>2</v>
      </c>
      <c r="AT351">
        <v>2</v>
      </c>
      <c r="AU351">
        <v>2</v>
      </c>
      <c r="AV351">
        <v>2</v>
      </c>
      <c r="AW351">
        <v>2</v>
      </c>
      <c r="AX351">
        <v>2</v>
      </c>
      <c r="AY351">
        <v>2</v>
      </c>
      <c r="AZ351">
        <v>2</v>
      </c>
      <c r="BA351">
        <v>2</v>
      </c>
      <c r="BB351">
        <v>2</v>
      </c>
    </row>
    <row r="352" spans="1:54" hidden="1" x14ac:dyDescent="0.3">
      <c r="A352" t="s">
        <v>358</v>
      </c>
      <c r="B352" t="s">
        <v>107</v>
      </c>
      <c r="C352">
        <v>34.052199999999999</v>
      </c>
      <c r="D352">
        <v>-118.2437</v>
      </c>
      <c r="E352">
        <v>0</v>
      </c>
      <c r="F352">
        <v>0</v>
      </c>
      <c r="G352">
        <v>0</v>
      </c>
      <c r="H352">
        <v>0</v>
      </c>
      <c r="I352">
        <v>1</v>
      </c>
      <c r="J352">
        <v>1</v>
      </c>
      <c r="K352">
        <v>1</v>
      </c>
      <c r="L352">
        <v>1</v>
      </c>
      <c r="M352">
        <v>1</v>
      </c>
      <c r="N352">
        <v>1</v>
      </c>
      <c r="O352">
        <v>1</v>
      </c>
      <c r="P352">
        <v>1</v>
      </c>
      <c r="Q352">
        <v>1</v>
      </c>
      <c r="R352">
        <v>1</v>
      </c>
      <c r="S352">
        <v>1</v>
      </c>
      <c r="T352">
        <v>1</v>
      </c>
      <c r="U352">
        <v>1</v>
      </c>
      <c r="V352">
        <v>1</v>
      </c>
      <c r="W352">
        <v>1</v>
      </c>
      <c r="X352">
        <v>1</v>
      </c>
      <c r="Y352">
        <v>1</v>
      </c>
      <c r="Z352">
        <v>1</v>
      </c>
      <c r="AA352">
        <v>1</v>
      </c>
      <c r="AB352">
        <v>1</v>
      </c>
      <c r="AC352">
        <v>1</v>
      </c>
      <c r="AD352">
        <v>1</v>
      </c>
      <c r="AE352">
        <v>1</v>
      </c>
      <c r="AF352">
        <v>1</v>
      </c>
      <c r="AG352">
        <v>1</v>
      </c>
      <c r="AH352">
        <v>1</v>
      </c>
      <c r="AI352">
        <v>1</v>
      </c>
      <c r="AJ352">
        <v>1</v>
      </c>
      <c r="AK352">
        <v>1</v>
      </c>
      <c r="AL352">
        <v>1</v>
      </c>
      <c r="AM352">
        <v>1</v>
      </c>
      <c r="AN352">
        <v>1</v>
      </c>
      <c r="AO352">
        <v>1</v>
      </c>
      <c r="AP352">
        <v>1</v>
      </c>
      <c r="AQ352">
        <v>1</v>
      </c>
      <c r="AR352">
        <v>1</v>
      </c>
      <c r="AS352">
        <v>1</v>
      </c>
      <c r="AT352">
        <v>1</v>
      </c>
      <c r="AU352">
        <v>7</v>
      </c>
      <c r="AV352">
        <v>11</v>
      </c>
      <c r="AW352">
        <v>13</v>
      </c>
      <c r="AX352">
        <v>14</v>
      </c>
      <c r="AY352">
        <v>14</v>
      </c>
      <c r="AZ352">
        <v>14</v>
      </c>
      <c r="BA352">
        <v>20</v>
      </c>
      <c r="BB352">
        <v>27</v>
      </c>
    </row>
    <row r="353" spans="1:54" hidden="1" x14ac:dyDescent="0.3">
      <c r="A353" t="s">
        <v>359</v>
      </c>
      <c r="B353" t="s">
        <v>107</v>
      </c>
      <c r="C353">
        <v>47.606200000000001</v>
      </c>
      <c r="D353">
        <v>-122.3321</v>
      </c>
      <c r="E353">
        <v>1</v>
      </c>
      <c r="F353">
        <v>1</v>
      </c>
      <c r="G353">
        <v>1</v>
      </c>
      <c r="H353">
        <v>1</v>
      </c>
      <c r="I353">
        <v>1</v>
      </c>
      <c r="J353">
        <v>1</v>
      </c>
      <c r="K353">
        <v>1</v>
      </c>
      <c r="L353">
        <v>1</v>
      </c>
      <c r="M353">
        <v>1</v>
      </c>
      <c r="N353">
        <v>1</v>
      </c>
      <c r="O353">
        <v>1</v>
      </c>
      <c r="P353">
        <v>1</v>
      </c>
      <c r="Q353">
        <v>1</v>
      </c>
      <c r="R353">
        <v>1</v>
      </c>
      <c r="S353">
        <v>1</v>
      </c>
      <c r="T353">
        <v>1</v>
      </c>
      <c r="U353">
        <v>1</v>
      </c>
      <c r="V353">
        <v>1</v>
      </c>
      <c r="W353">
        <v>1</v>
      </c>
      <c r="X353">
        <v>1</v>
      </c>
      <c r="Y353">
        <v>1</v>
      </c>
      <c r="Z353">
        <v>1</v>
      </c>
      <c r="AA353">
        <v>1</v>
      </c>
      <c r="AB353">
        <v>1</v>
      </c>
      <c r="AC353">
        <v>1</v>
      </c>
      <c r="AD353">
        <v>1</v>
      </c>
      <c r="AE353">
        <v>1</v>
      </c>
      <c r="AF353">
        <v>1</v>
      </c>
      <c r="AG353">
        <v>1</v>
      </c>
      <c r="AH353">
        <v>1</v>
      </c>
      <c r="AI353">
        <v>1</v>
      </c>
      <c r="AJ353">
        <v>1</v>
      </c>
      <c r="AK353">
        <v>1</v>
      </c>
      <c r="AL353">
        <v>1</v>
      </c>
      <c r="AM353">
        <v>1</v>
      </c>
      <c r="AN353">
        <v>1</v>
      </c>
      <c r="AO353">
        <v>1</v>
      </c>
      <c r="AP353">
        <v>1</v>
      </c>
      <c r="AQ353">
        <v>6</v>
      </c>
      <c r="AR353">
        <v>9</v>
      </c>
      <c r="AS353">
        <v>14</v>
      </c>
      <c r="AT353">
        <v>21</v>
      </c>
      <c r="AU353">
        <v>31</v>
      </c>
      <c r="AV353">
        <v>51</v>
      </c>
      <c r="AW353">
        <v>58</v>
      </c>
      <c r="AX353">
        <v>71</v>
      </c>
      <c r="AY353">
        <v>83</v>
      </c>
      <c r="AZ353">
        <v>83</v>
      </c>
      <c r="BA353">
        <v>116</v>
      </c>
      <c r="BB353">
        <v>190</v>
      </c>
    </row>
    <row r="354" spans="1:54" hidden="1" x14ac:dyDescent="0.3">
      <c r="A354" t="s">
        <v>360</v>
      </c>
      <c r="B354" t="s">
        <v>107</v>
      </c>
      <c r="C354">
        <v>41.737699999999997</v>
      </c>
      <c r="D354">
        <v>-87.697599999999994</v>
      </c>
      <c r="E354">
        <v>0</v>
      </c>
      <c r="F354">
        <v>0</v>
      </c>
      <c r="G354">
        <v>1</v>
      </c>
      <c r="H354">
        <v>1</v>
      </c>
      <c r="I354">
        <v>1</v>
      </c>
      <c r="J354">
        <v>1</v>
      </c>
      <c r="K354">
        <v>1</v>
      </c>
      <c r="L354">
        <v>1</v>
      </c>
      <c r="M354">
        <v>1</v>
      </c>
      <c r="N354">
        <v>2</v>
      </c>
      <c r="O354">
        <v>2</v>
      </c>
      <c r="P354">
        <v>2</v>
      </c>
      <c r="Q354">
        <v>2</v>
      </c>
      <c r="R354">
        <v>2</v>
      </c>
      <c r="S354">
        <v>2</v>
      </c>
      <c r="T354">
        <v>2</v>
      </c>
      <c r="U354">
        <v>2</v>
      </c>
      <c r="V354">
        <v>2</v>
      </c>
      <c r="W354">
        <v>2</v>
      </c>
      <c r="X354">
        <v>2</v>
      </c>
      <c r="Y354">
        <v>2</v>
      </c>
      <c r="Z354">
        <v>2</v>
      </c>
      <c r="AA354">
        <v>2</v>
      </c>
      <c r="AB354">
        <v>2</v>
      </c>
      <c r="AC354">
        <v>2</v>
      </c>
      <c r="AD354">
        <v>2</v>
      </c>
      <c r="AE354">
        <v>2</v>
      </c>
      <c r="AF354">
        <v>2</v>
      </c>
      <c r="AG354">
        <v>2</v>
      </c>
      <c r="AH354">
        <v>2</v>
      </c>
      <c r="AI354">
        <v>2</v>
      </c>
      <c r="AJ354">
        <v>2</v>
      </c>
      <c r="AK354">
        <v>2</v>
      </c>
      <c r="AL354">
        <v>2</v>
      </c>
      <c r="AM354">
        <v>2</v>
      </c>
      <c r="AN354">
        <v>2</v>
      </c>
      <c r="AO354">
        <v>2</v>
      </c>
      <c r="AP354">
        <v>2</v>
      </c>
      <c r="AQ354">
        <v>2</v>
      </c>
      <c r="AR354">
        <v>3</v>
      </c>
      <c r="AS354">
        <v>4</v>
      </c>
      <c r="AT354">
        <v>4</v>
      </c>
      <c r="AU354">
        <v>4</v>
      </c>
      <c r="AV354">
        <v>5</v>
      </c>
      <c r="AW354">
        <v>5</v>
      </c>
      <c r="AX354">
        <v>6</v>
      </c>
      <c r="AY354">
        <v>7</v>
      </c>
      <c r="AZ354">
        <v>7</v>
      </c>
      <c r="BA354">
        <v>11</v>
      </c>
      <c r="BB354">
        <v>22</v>
      </c>
    </row>
    <row r="355" spans="1:54" hidden="1" x14ac:dyDescent="0.3">
      <c r="A355" t="s">
        <v>361</v>
      </c>
      <c r="B355" t="s">
        <v>107</v>
      </c>
      <c r="C355">
        <v>48.424199999999999</v>
      </c>
      <c r="D355">
        <v>-121.7114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0</v>
      </c>
      <c r="AQ355">
        <v>0</v>
      </c>
      <c r="AR355">
        <v>0</v>
      </c>
      <c r="AS355">
        <v>0</v>
      </c>
      <c r="AT355">
        <v>0</v>
      </c>
      <c r="AU355">
        <v>0</v>
      </c>
      <c r="AV355">
        <v>0</v>
      </c>
      <c r="AW355">
        <v>0</v>
      </c>
      <c r="AX355">
        <v>0</v>
      </c>
      <c r="AY355">
        <v>0</v>
      </c>
      <c r="AZ355">
        <v>0</v>
      </c>
      <c r="BA355">
        <v>0</v>
      </c>
      <c r="BB355">
        <v>1</v>
      </c>
    </row>
    <row r="356" spans="1:54" hidden="1" x14ac:dyDescent="0.3">
      <c r="A356" t="s">
        <v>362</v>
      </c>
      <c r="B356" t="s">
        <v>107</v>
      </c>
      <c r="C356">
        <v>46.864600000000003</v>
      </c>
      <c r="D356">
        <v>-122.7696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0</v>
      </c>
      <c r="AQ356">
        <v>0</v>
      </c>
      <c r="AR356">
        <v>0</v>
      </c>
      <c r="AS356">
        <v>0</v>
      </c>
      <c r="AT356">
        <v>0</v>
      </c>
      <c r="AU356">
        <v>0</v>
      </c>
      <c r="AV356">
        <v>0</v>
      </c>
      <c r="AW356">
        <v>0</v>
      </c>
      <c r="AX356">
        <v>0</v>
      </c>
      <c r="AY356">
        <v>0</v>
      </c>
      <c r="AZ356">
        <v>0</v>
      </c>
      <c r="BA356">
        <v>0</v>
      </c>
      <c r="BB356">
        <v>1</v>
      </c>
    </row>
    <row r="357" spans="1:54" hidden="1" x14ac:dyDescent="0.3">
      <c r="A357" t="s">
        <v>363</v>
      </c>
      <c r="B357" t="s">
        <v>107</v>
      </c>
      <c r="C357">
        <v>48.197600000000001</v>
      </c>
      <c r="D357">
        <v>-122.5795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0</v>
      </c>
      <c r="AQ357">
        <v>0</v>
      </c>
      <c r="AR357">
        <v>0</v>
      </c>
      <c r="AS357">
        <v>0</v>
      </c>
      <c r="AT357">
        <v>0</v>
      </c>
      <c r="AU357">
        <v>0</v>
      </c>
      <c r="AV357">
        <v>0</v>
      </c>
      <c r="AW357">
        <v>0</v>
      </c>
      <c r="AX357">
        <v>0</v>
      </c>
      <c r="AY357">
        <v>0</v>
      </c>
      <c r="AZ357">
        <v>0</v>
      </c>
      <c r="BA357">
        <v>0</v>
      </c>
      <c r="BB357">
        <v>1</v>
      </c>
    </row>
    <row r="358" spans="1:54" hidden="1" x14ac:dyDescent="0.3">
      <c r="A358" t="s">
        <v>364</v>
      </c>
      <c r="B358" t="s">
        <v>107</v>
      </c>
      <c r="C358">
        <v>48.878700000000002</v>
      </c>
      <c r="D358">
        <v>-121.97190000000001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0</v>
      </c>
      <c r="AQ358">
        <v>0</v>
      </c>
      <c r="AR358">
        <v>0</v>
      </c>
      <c r="AS358">
        <v>0</v>
      </c>
      <c r="AT358">
        <v>0</v>
      </c>
      <c r="AU358">
        <v>0</v>
      </c>
      <c r="AV358">
        <v>0</v>
      </c>
      <c r="AW358">
        <v>0</v>
      </c>
      <c r="AX358">
        <v>0</v>
      </c>
      <c r="AY358">
        <v>0</v>
      </c>
      <c r="AZ358">
        <v>0</v>
      </c>
      <c r="BA358">
        <v>0</v>
      </c>
      <c r="BB358">
        <v>1</v>
      </c>
    </row>
    <row r="359" spans="1:54" hidden="1" x14ac:dyDescent="0.3">
      <c r="A359" t="s">
        <v>365</v>
      </c>
      <c r="B359" t="s">
        <v>107</v>
      </c>
      <c r="C359">
        <v>38.083399999999997</v>
      </c>
      <c r="D359">
        <v>-122.7633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0</v>
      </c>
      <c r="AU359">
        <v>0</v>
      </c>
      <c r="AV359">
        <v>0</v>
      </c>
      <c r="AW359">
        <v>0</v>
      </c>
      <c r="AX359">
        <v>0</v>
      </c>
      <c r="AY359">
        <v>0</v>
      </c>
      <c r="AZ359">
        <v>0</v>
      </c>
      <c r="BA359">
        <v>1</v>
      </c>
      <c r="BB359">
        <v>1</v>
      </c>
    </row>
    <row r="360" spans="1:54" hidden="1" x14ac:dyDescent="0.3">
      <c r="A360" t="s">
        <v>366</v>
      </c>
      <c r="B360" t="s">
        <v>107</v>
      </c>
      <c r="C360">
        <v>38.195999999999998</v>
      </c>
      <c r="D360">
        <v>-120.68049999999999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0</v>
      </c>
      <c r="AR360">
        <v>0</v>
      </c>
      <c r="AS360">
        <v>0</v>
      </c>
      <c r="AT360">
        <v>0</v>
      </c>
      <c r="AU360">
        <v>0</v>
      </c>
      <c r="AV360">
        <v>0</v>
      </c>
      <c r="AW360">
        <v>0</v>
      </c>
      <c r="AX360">
        <v>0</v>
      </c>
      <c r="AY360">
        <v>0</v>
      </c>
      <c r="AZ360">
        <v>0</v>
      </c>
      <c r="BA360">
        <v>0</v>
      </c>
      <c r="BB360">
        <v>2</v>
      </c>
    </row>
    <row r="361" spans="1:54" hidden="1" x14ac:dyDescent="0.3">
      <c r="A361" t="s">
        <v>367</v>
      </c>
      <c r="B361" t="s">
        <v>107</v>
      </c>
      <c r="C361">
        <v>37.509099999999997</v>
      </c>
      <c r="D361">
        <v>-120.9876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0</v>
      </c>
      <c r="AQ361">
        <v>0</v>
      </c>
      <c r="AR361">
        <v>0</v>
      </c>
      <c r="AS361">
        <v>0</v>
      </c>
      <c r="AT361">
        <v>0</v>
      </c>
      <c r="AU361">
        <v>0</v>
      </c>
      <c r="AV361">
        <v>0</v>
      </c>
      <c r="AW361">
        <v>0</v>
      </c>
      <c r="AX361">
        <v>0</v>
      </c>
      <c r="AY361">
        <v>0</v>
      </c>
      <c r="AZ361">
        <v>0</v>
      </c>
      <c r="BA361">
        <v>0</v>
      </c>
      <c r="BB361">
        <v>2</v>
      </c>
    </row>
    <row r="362" spans="1:54" hidden="1" x14ac:dyDescent="0.3">
      <c r="A362" t="s">
        <v>368</v>
      </c>
      <c r="B362" t="s">
        <v>107</v>
      </c>
      <c r="C362">
        <v>36.6066</v>
      </c>
      <c r="D362">
        <v>-120.18899999999999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0</v>
      </c>
      <c r="AQ362">
        <v>0</v>
      </c>
      <c r="AR362">
        <v>0</v>
      </c>
      <c r="AS362">
        <v>0</v>
      </c>
      <c r="AT362">
        <v>0</v>
      </c>
      <c r="AU362">
        <v>0</v>
      </c>
      <c r="AV362">
        <v>0</v>
      </c>
      <c r="AW362">
        <v>0</v>
      </c>
      <c r="AX362">
        <v>0</v>
      </c>
      <c r="AY362">
        <v>0</v>
      </c>
      <c r="AZ362">
        <v>0</v>
      </c>
      <c r="BA362">
        <v>0</v>
      </c>
      <c r="BB362">
        <v>1</v>
      </c>
    </row>
    <row r="363" spans="1:54" hidden="1" x14ac:dyDescent="0.3">
      <c r="A363" t="s">
        <v>369</v>
      </c>
      <c r="B363" t="s">
        <v>107</v>
      </c>
      <c r="C363">
        <v>42.631999999999998</v>
      </c>
      <c r="D363">
        <v>-70.782899999999998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0</v>
      </c>
      <c r="AQ363">
        <v>0</v>
      </c>
      <c r="AR363">
        <v>0</v>
      </c>
      <c r="AS363">
        <v>0</v>
      </c>
      <c r="AT363">
        <v>0</v>
      </c>
      <c r="AU363">
        <v>0</v>
      </c>
      <c r="AV363">
        <v>0</v>
      </c>
      <c r="AW363">
        <v>0</v>
      </c>
      <c r="AX363">
        <v>0</v>
      </c>
      <c r="AY363">
        <v>0</v>
      </c>
      <c r="AZ363">
        <v>0</v>
      </c>
      <c r="BA363">
        <v>0</v>
      </c>
      <c r="BB363">
        <v>1</v>
      </c>
    </row>
    <row r="364" spans="1:54" hidden="1" x14ac:dyDescent="0.3">
      <c r="A364" t="s">
        <v>370</v>
      </c>
      <c r="B364" t="s">
        <v>107</v>
      </c>
      <c r="C364">
        <v>30.791699999999999</v>
      </c>
      <c r="D364">
        <v>-82.084299999999999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0</v>
      </c>
      <c r="AQ364">
        <v>0</v>
      </c>
      <c r="AR364">
        <v>0</v>
      </c>
      <c r="AS364">
        <v>0</v>
      </c>
      <c r="AT364">
        <v>0</v>
      </c>
      <c r="AU364">
        <v>0</v>
      </c>
      <c r="AV364">
        <v>0</v>
      </c>
      <c r="AW364">
        <v>0</v>
      </c>
      <c r="AX364">
        <v>0</v>
      </c>
      <c r="AY364">
        <v>0</v>
      </c>
      <c r="AZ364">
        <v>0</v>
      </c>
      <c r="BA364">
        <v>0</v>
      </c>
      <c r="BB364">
        <v>1</v>
      </c>
    </row>
    <row r="365" spans="1:54" hidden="1" x14ac:dyDescent="0.3">
      <c r="A365" t="s">
        <v>371</v>
      </c>
      <c r="B365" t="s">
        <v>107</v>
      </c>
      <c r="C365">
        <v>26.07</v>
      </c>
      <c r="D365">
        <v>-81.427899999999994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0</v>
      </c>
      <c r="AQ365">
        <v>0</v>
      </c>
      <c r="AR365">
        <v>0</v>
      </c>
      <c r="AS365">
        <v>0</v>
      </c>
      <c r="AT365">
        <v>0</v>
      </c>
      <c r="AU365">
        <v>0</v>
      </c>
      <c r="AV365">
        <v>0</v>
      </c>
      <c r="AW365">
        <v>0</v>
      </c>
      <c r="AX365">
        <v>0</v>
      </c>
      <c r="AY365">
        <v>0</v>
      </c>
      <c r="AZ365">
        <v>0</v>
      </c>
      <c r="BA365">
        <v>0</v>
      </c>
      <c r="BB365">
        <v>3</v>
      </c>
    </row>
    <row r="366" spans="1:54" hidden="1" x14ac:dyDescent="0.3">
      <c r="A366" t="s">
        <v>372</v>
      </c>
      <c r="B366" t="s">
        <v>107</v>
      </c>
      <c r="C366">
        <v>27.8764</v>
      </c>
      <c r="D366">
        <v>-82.777900000000002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0</v>
      </c>
      <c r="AQ366">
        <v>0</v>
      </c>
      <c r="AR366">
        <v>0</v>
      </c>
      <c r="AS366">
        <v>0</v>
      </c>
      <c r="AT366">
        <v>0</v>
      </c>
      <c r="AU366">
        <v>0</v>
      </c>
      <c r="AV366">
        <v>0</v>
      </c>
      <c r="AW366">
        <v>0</v>
      </c>
      <c r="AX366">
        <v>0</v>
      </c>
      <c r="AY366">
        <v>0</v>
      </c>
      <c r="AZ366">
        <v>0</v>
      </c>
      <c r="BA366">
        <v>0</v>
      </c>
      <c r="BB366">
        <v>2</v>
      </c>
    </row>
    <row r="367" spans="1:54" hidden="1" x14ac:dyDescent="0.3">
      <c r="A367" t="s">
        <v>373</v>
      </c>
      <c r="B367" t="s">
        <v>107</v>
      </c>
      <c r="C367">
        <v>29.793800000000001</v>
      </c>
      <c r="D367">
        <v>-82.494399999999999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0</v>
      </c>
      <c r="AQ367">
        <v>0</v>
      </c>
      <c r="AR367">
        <v>0</v>
      </c>
      <c r="AS367">
        <v>0</v>
      </c>
      <c r="AT367">
        <v>0</v>
      </c>
      <c r="AU367">
        <v>0</v>
      </c>
      <c r="AV367">
        <v>0</v>
      </c>
      <c r="AW367">
        <v>0</v>
      </c>
      <c r="AX367">
        <v>0</v>
      </c>
      <c r="AY367">
        <v>0</v>
      </c>
      <c r="AZ367">
        <v>0</v>
      </c>
      <c r="BA367">
        <v>0</v>
      </c>
      <c r="BB367">
        <v>1</v>
      </c>
    </row>
    <row r="368" spans="1:54" hidden="1" x14ac:dyDescent="0.3">
      <c r="A368" t="s">
        <v>374</v>
      </c>
      <c r="B368" t="s">
        <v>107</v>
      </c>
      <c r="C368">
        <v>30.592700000000001</v>
      </c>
      <c r="D368">
        <v>-81.822400000000002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0</v>
      </c>
      <c r="AQ368">
        <v>0</v>
      </c>
      <c r="AR368">
        <v>0</v>
      </c>
      <c r="AS368">
        <v>0</v>
      </c>
      <c r="AT368">
        <v>0</v>
      </c>
      <c r="AU368">
        <v>0</v>
      </c>
      <c r="AV368">
        <v>0</v>
      </c>
      <c r="AW368">
        <v>0</v>
      </c>
      <c r="AX368">
        <v>0</v>
      </c>
      <c r="AY368">
        <v>0</v>
      </c>
      <c r="AZ368">
        <v>0</v>
      </c>
      <c r="BA368">
        <v>0</v>
      </c>
      <c r="BB368">
        <v>1</v>
      </c>
    </row>
    <row r="369" spans="1:54" hidden="1" x14ac:dyDescent="0.3">
      <c r="A369" t="s">
        <v>375</v>
      </c>
      <c r="B369" t="s">
        <v>107</v>
      </c>
      <c r="C369">
        <v>28.3232</v>
      </c>
      <c r="D369">
        <v>-82.431899999999999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0</v>
      </c>
      <c r="AQ369">
        <v>0</v>
      </c>
      <c r="AR369">
        <v>0</v>
      </c>
      <c r="AS369">
        <v>0</v>
      </c>
      <c r="AT369">
        <v>0</v>
      </c>
      <c r="AU369">
        <v>0</v>
      </c>
      <c r="AV369">
        <v>0</v>
      </c>
      <c r="AW369">
        <v>0</v>
      </c>
      <c r="AX369">
        <v>0</v>
      </c>
      <c r="AY369">
        <v>0</v>
      </c>
      <c r="AZ369">
        <v>0</v>
      </c>
      <c r="BA369">
        <v>0</v>
      </c>
      <c r="BB369">
        <v>1</v>
      </c>
    </row>
    <row r="370" spans="1:54" hidden="1" x14ac:dyDescent="0.3">
      <c r="A370" t="s">
        <v>376</v>
      </c>
      <c r="B370" t="s">
        <v>107</v>
      </c>
      <c r="C370">
        <v>32.776699999999998</v>
      </c>
      <c r="D370">
        <v>-96.796999999999997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0</v>
      </c>
      <c r="AQ370">
        <v>0</v>
      </c>
      <c r="AR370">
        <v>0</v>
      </c>
      <c r="AS370">
        <v>0</v>
      </c>
      <c r="AT370">
        <v>0</v>
      </c>
      <c r="AU370">
        <v>0</v>
      </c>
      <c r="AV370">
        <v>0</v>
      </c>
      <c r="AW370">
        <v>0</v>
      </c>
      <c r="AX370">
        <v>0</v>
      </c>
      <c r="AY370">
        <v>0</v>
      </c>
      <c r="AZ370">
        <v>0</v>
      </c>
      <c r="BA370">
        <v>0</v>
      </c>
      <c r="BB370">
        <v>2</v>
      </c>
    </row>
    <row r="371" spans="1:54" hidden="1" x14ac:dyDescent="0.3">
      <c r="A371" t="s">
        <v>377</v>
      </c>
      <c r="B371" t="s">
        <v>107</v>
      </c>
      <c r="C371">
        <v>32.773200000000003</v>
      </c>
      <c r="D371">
        <v>-97.351699999999994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0</v>
      </c>
      <c r="AQ371">
        <v>0</v>
      </c>
      <c r="AR371">
        <v>0</v>
      </c>
      <c r="AS371">
        <v>0</v>
      </c>
      <c r="AT371">
        <v>0</v>
      </c>
      <c r="AU371">
        <v>0</v>
      </c>
      <c r="AV371">
        <v>0</v>
      </c>
      <c r="AW371">
        <v>0</v>
      </c>
      <c r="AX371">
        <v>0</v>
      </c>
      <c r="AY371">
        <v>0</v>
      </c>
      <c r="AZ371">
        <v>0</v>
      </c>
      <c r="BA371">
        <v>0</v>
      </c>
      <c r="BB371">
        <v>1</v>
      </c>
    </row>
    <row r="372" spans="1:54" hidden="1" x14ac:dyDescent="0.3">
      <c r="A372" t="s">
        <v>378</v>
      </c>
      <c r="B372" t="s">
        <v>107</v>
      </c>
      <c r="C372">
        <v>30.388300000000001</v>
      </c>
      <c r="D372">
        <v>-95.696299999999994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0</v>
      </c>
      <c r="AT372">
        <v>0</v>
      </c>
      <c r="AU372">
        <v>0</v>
      </c>
      <c r="AV372">
        <v>0</v>
      </c>
      <c r="AW372">
        <v>0</v>
      </c>
      <c r="AX372">
        <v>0</v>
      </c>
      <c r="AY372">
        <v>0</v>
      </c>
      <c r="AZ372">
        <v>0</v>
      </c>
      <c r="BA372">
        <v>0</v>
      </c>
      <c r="BB372">
        <v>1</v>
      </c>
    </row>
    <row r="373" spans="1:54" hidden="1" x14ac:dyDescent="0.3">
      <c r="A373" t="s">
        <v>379</v>
      </c>
      <c r="B373" t="s">
        <v>107</v>
      </c>
      <c r="C373">
        <v>40.572600000000001</v>
      </c>
      <c r="D373">
        <v>-74.492699999999999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0</v>
      </c>
      <c r="AS373">
        <v>0</v>
      </c>
      <c r="AT373">
        <v>0</v>
      </c>
      <c r="AU373">
        <v>0</v>
      </c>
      <c r="AV373">
        <v>0</v>
      </c>
      <c r="AW373">
        <v>0</v>
      </c>
      <c r="AX373">
        <v>0</v>
      </c>
      <c r="AY373">
        <v>0</v>
      </c>
      <c r="AZ373">
        <v>0</v>
      </c>
      <c r="BA373">
        <v>0</v>
      </c>
      <c r="BB373">
        <v>2</v>
      </c>
    </row>
    <row r="374" spans="1:54" hidden="1" x14ac:dyDescent="0.3">
      <c r="A374" t="s">
        <v>380</v>
      </c>
      <c r="B374" t="s">
        <v>107</v>
      </c>
      <c r="C374">
        <v>39.58</v>
      </c>
      <c r="D374">
        <v>-105.2663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0</v>
      </c>
      <c r="AS374">
        <v>0</v>
      </c>
      <c r="AT374">
        <v>0</v>
      </c>
      <c r="AU374">
        <v>0</v>
      </c>
      <c r="AV374">
        <v>0</v>
      </c>
      <c r="AW374">
        <v>0</v>
      </c>
      <c r="AX374">
        <v>0</v>
      </c>
      <c r="AY374">
        <v>0</v>
      </c>
      <c r="AZ374">
        <v>0</v>
      </c>
      <c r="BA374">
        <v>0</v>
      </c>
      <c r="BB374">
        <v>3</v>
      </c>
    </row>
    <row r="375" spans="1:54" hidden="1" x14ac:dyDescent="0.3">
      <c r="A375" t="s">
        <v>381</v>
      </c>
      <c r="B375" t="s">
        <v>107</v>
      </c>
      <c r="C375">
        <v>45.514600000000002</v>
      </c>
      <c r="D375">
        <v>-122.58629999999999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0</v>
      </c>
      <c r="AQ375">
        <v>0</v>
      </c>
      <c r="AR375">
        <v>0</v>
      </c>
      <c r="AS375">
        <v>0</v>
      </c>
      <c r="AT375">
        <v>0</v>
      </c>
      <c r="AU375">
        <v>0</v>
      </c>
      <c r="AV375">
        <v>0</v>
      </c>
      <c r="AW375">
        <v>0</v>
      </c>
      <c r="AX375">
        <v>0</v>
      </c>
      <c r="AY375">
        <v>0</v>
      </c>
      <c r="AZ375">
        <v>0</v>
      </c>
      <c r="BA375">
        <v>0</v>
      </c>
      <c r="BB375">
        <v>1</v>
      </c>
    </row>
    <row r="376" spans="1:54" hidden="1" x14ac:dyDescent="0.3">
      <c r="A376" t="s">
        <v>382</v>
      </c>
      <c r="B376" t="s">
        <v>107</v>
      </c>
      <c r="C376">
        <v>44.926699999999997</v>
      </c>
      <c r="D376">
        <v>-123.4919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0</v>
      </c>
      <c r="AR376">
        <v>0</v>
      </c>
      <c r="AS376">
        <v>0</v>
      </c>
      <c r="AT376">
        <v>0</v>
      </c>
      <c r="AU376">
        <v>0</v>
      </c>
      <c r="AV376">
        <v>0</v>
      </c>
      <c r="AW376">
        <v>0</v>
      </c>
      <c r="AX376">
        <v>0</v>
      </c>
      <c r="AY376">
        <v>0</v>
      </c>
      <c r="AZ376">
        <v>0</v>
      </c>
      <c r="BA376">
        <v>0</v>
      </c>
      <c r="BB376">
        <v>1</v>
      </c>
    </row>
    <row r="377" spans="1:54" hidden="1" x14ac:dyDescent="0.3">
      <c r="A377" t="s">
        <v>383</v>
      </c>
      <c r="B377" t="s">
        <v>107</v>
      </c>
      <c r="C377">
        <v>43.832500000000003</v>
      </c>
      <c r="D377">
        <v>-121.2617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0</v>
      </c>
      <c r="AQ377">
        <v>0</v>
      </c>
      <c r="AR377">
        <v>0</v>
      </c>
      <c r="AS377">
        <v>0</v>
      </c>
      <c r="AT377">
        <v>0</v>
      </c>
      <c r="AU377">
        <v>0</v>
      </c>
      <c r="AV377">
        <v>0</v>
      </c>
      <c r="AW377">
        <v>0</v>
      </c>
      <c r="AX377">
        <v>0</v>
      </c>
      <c r="AY377">
        <v>0</v>
      </c>
      <c r="AZ377">
        <v>0</v>
      </c>
      <c r="BA377">
        <v>0</v>
      </c>
      <c r="BB377">
        <v>1</v>
      </c>
    </row>
    <row r="378" spans="1:54" hidden="1" x14ac:dyDescent="0.3">
      <c r="A378" t="s">
        <v>384</v>
      </c>
      <c r="B378" t="s">
        <v>107</v>
      </c>
      <c r="C378">
        <v>42.333399999999997</v>
      </c>
      <c r="D378">
        <v>-88.266800000000003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v>0</v>
      </c>
      <c r="AR378">
        <v>0</v>
      </c>
      <c r="AS378">
        <v>0</v>
      </c>
      <c r="AT378">
        <v>0</v>
      </c>
      <c r="AU378">
        <v>0</v>
      </c>
      <c r="AV378">
        <v>0</v>
      </c>
      <c r="AW378">
        <v>0</v>
      </c>
      <c r="AX378">
        <v>0</v>
      </c>
      <c r="AY378">
        <v>0</v>
      </c>
      <c r="AZ378">
        <v>0</v>
      </c>
      <c r="BA378">
        <v>0</v>
      </c>
      <c r="BB378">
        <v>1</v>
      </c>
    </row>
    <row r="379" spans="1:54" hidden="1" x14ac:dyDescent="0.3">
      <c r="A379" t="s">
        <v>385</v>
      </c>
      <c r="B379" t="s">
        <v>107</v>
      </c>
      <c r="C379">
        <v>42.368899999999996</v>
      </c>
      <c r="D379">
        <v>-87.827200000000005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0</v>
      </c>
      <c r="AQ379">
        <v>0</v>
      </c>
      <c r="AR379">
        <v>0</v>
      </c>
      <c r="AS379">
        <v>0</v>
      </c>
      <c r="AT379">
        <v>0</v>
      </c>
      <c r="AU379">
        <v>0</v>
      </c>
      <c r="AV379">
        <v>0</v>
      </c>
      <c r="AW379">
        <v>0</v>
      </c>
      <c r="AX379">
        <v>0</v>
      </c>
      <c r="AY379">
        <v>0</v>
      </c>
      <c r="AZ379">
        <v>0</v>
      </c>
      <c r="BA379">
        <v>0</v>
      </c>
      <c r="BB379">
        <v>1</v>
      </c>
    </row>
    <row r="380" spans="1:54" hidden="1" x14ac:dyDescent="0.3">
      <c r="A380" t="s">
        <v>386</v>
      </c>
      <c r="B380" t="s">
        <v>107</v>
      </c>
      <c r="C380">
        <v>40.410800000000002</v>
      </c>
      <c r="D380">
        <v>-75.247900000000001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0</v>
      </c>
      <c r="AQ380">
        <v>0</v>
      </c>
      <c r="AR380">
        <v>0</v>
      </c>
      <c r="AS380">
        <v>0</v>
      </c>
      <c r="AT380">
        <v>0</v>
      </c>
      <c r="AU380">
        <v>0</v>
      </c>
      <c r="AV380">
        <v>0</v>
      </c>
      <c r="AW380">
        <v>0</v>
      </c>
      <c r="AX380">
        <v>0</v>
      </c>
      <c r="AY380">
        <v>0</v>
      </c>
      <c r="AZ380">
        <v>0</v>
      </c>
      <c r="BA380">
        <v>0</v>
      </c>
      <c r="BB380">
        <v>1</v>
      </c>
    </row>
    <row r="381" spans="1:54" x14ac:dyDescent="0.3">
      <c r="A381" t="s">
        <v>387</v>
      </c>
      <c r="B381" t="s">
        <v>107</v>
      </c>
      <c r="C381">
        <v>37.777200000000001</v>
      </c>
      <c r="D381">
        <v>-77.516099999999994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v>0</v>
      </c>
      <c r="AP381">
        <v>0</v>
      </c>
      <c r="AQ381">
        <v>0</v>
      </c>
      <c r="AR381">
        <v>0</v>
      </c>
      <c r="AS381">
        <v>0</v>
      </c>
      <c r="AT381">
        <v>0</v>
      </c>
      <c r="AU381">
        <v>0</v>
      </c>
      <c r="AV381">
        <v>0</v>
      </c>
      <c r="AW381">
        <v>0</v>
      </c>
      <c r="AX381">
        <v>0</v>
      </c>
      <c r="AY381">
        <v>0</v>
      </c>
      <c r="AZ381">
        <v>0</v>
      </c>
      <c r="BA381">
        <v>0</v>
      </c>
      <c r="BB381">
        <v>1</v>
      </c>
    </row>
    <row r="382" spans="1:54" hidden="1" x14ac:dyDescent="0.3">
      <c r="A382" t="s">
        <v>388</v>
      </c>
      <c r="B382" t="s">
        <v>107</v>
      </c>
      <c r="C382">
        <v>34.725299999999997</v>
      </c>
      <c r="D382">
        <v>-80.677099999999996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0</v>
      </c>
      <c r="AQ382">
        <v>0</v>
      </c>
      <c r="AR382">
        <v>0</v>
      </c>
      <c r="AS382">
        <v>0</v>
      </c>
      <c r="AT382">
        <v>0</v>
      </c>
      <c r="AU382">
        <v>0</v>
      </c>
      <c r="AV382">
        <v>0</v>
      </c>
      <c r="AW382">
        <v>0</v>
      </c>
      <c r="AX382">
        <v>0</v>
      </c>
      <c r="AY382">
        <v>0</v>
      </c>
      <c r="AZ382">
        <v>0</v>
      </c>
      <c r="BA382">
        <v>0</v>
      </c>
      <c r="BB382">
        <v>1</v>
      </c>
    </row>
    <row r="383" spans="1:54" hidden="1" x14ac:dyDescent="0.3">
      <c r="A383" t="s">
        <v>389</v>
      </c>
      <c r="B383" t="s">
        <v>107</v>
      </c>
      <c r="C383">
        <v>36.493299999999998</v>
      </c>
      <c r="D383">
        <v>-82.345200000000006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v>0</v>
      </c>
      <c r="AP383">
        <v>0</v>
      </c>
      <c r="AQ383">
        <v>0</v>
      </c>
      <c r="AR383">
        <v>0</v>
      </c>
      <c r="AS383">
        <v>0</v>
      </c>
      <c r="AT383">
        <v>0</v>
      </c>
      <c r="AU383">
        <v>0</v>
      </c>
      <c r="AV383">
        <v>0</v>
      </c>
      <c r="AW383">
        <v>0</v>
      </c>
      <c r="AX383">
        <v>0</v>
      </c>
      <c r="AY383">
        <v>0</v>
      </c>
      <c r="AZ383">
        <v>0</v>
      </c>
      <c r="BA383">
        <v>0</v>
      </c>
      <c r="BB383">
        <v>1</v>
      </c>
    </row>
    <row r="384" spans="1:54" hidden="1" x14ac:dyDescent="0.3">
      <c r="A384" t="s">
        <v>390</v>
      </c>
      <c r="B384" t="s">
        <v>107</v>
      </c>
      <c r="C384">
        <v>39.463799999999999</v>
      </c>
      <c r="D384">
        <v>-86.134500000000003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v>0</v>
      </c>
      <c r="AP384">
        <v>0</v>
      </c>
      <c r="AQ384">
        <v>0</v>
      </c>
      <c r="AR384">
        <v>0</v>
      </c>
      <c r="AS384">
        <v>0</v>
      </c>
      <c r="AT384">
        <v>0</v>
      </c>
      <c r="AU384">
        <v>0</v>
      </c>
      <c r="AV384">
        <v>0</v>
      </c>
      <c r="AW384">
        <v>0</v>
      </c>
      <c r="AX384">
        <v>0</v>
      </c>
      <c r="AY384">
        <v>0</v>
      </c>
      <c r="AZ384">
        <v>0</v>
      </c>
      <c r="BA384">
        <v>0</v>
      </c>
      <c r="BB384">
        <v>3</v>
      </c>
    </row>
    <row r="385" spans="1:54" hidden="1" x14ac:dyDescent="0.3">
      <c r="A385" t="s">
        <v>391</v>
      </c>
      <c r="B385" t="s">
        <v>107</v>
      </c>
      <c r="C385">
        <v>40.448300000000003</v>
      </c>
      <c r="D385">
        <v>-86.134500000000003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v>0</v>
      </c>
      <c r="AP385">
        <v>0</v>
      </c>
      <c r="AQ385">
        <v>0</v>
      </c>
      <c r="AR385">
        <v>0</v>
      </c>
      <c r="AS385">
        <v>0</v>
      </c>
      <c r="AT385">
        <v>0</v>
      </c>
      <c r="AU385">
        <v>0</v>
      </c>
      <c r="AV385">
        <v>0</v>
      </c>
      <c r="AW385">
        <v>0</v>
      </c>
      <c r="AX385">
        <v>0</v>
      </c>
      <c r="AY385">
        <v>0</v>
      </c>
      <c r="AZ385">
        <v>0</v>
      </c>
      <c r="BA385">
        <v>0</v>
      </c>
      <c r="BB385">
        <v>1</v>
      </c>
    </row>
    <row r="386" spans="1:54" hidden="1" x14ac:dyDescent="0.3">
      <c r="A386" t="s">
        <v>392</v>
      </c>
      <c r="B386" t="s">
        <v>107</v>
      </c>
      <c r="C386">
        <v>41.622799999999998</v>
      </c>
      <c r="D386">
        <v>-86.337699999999998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0</v>
      </c>
      <c r="AQ386">
        <v>0</v>
      </c>
      <c r="AR386">
        <v>0</v>
      </c>
      <c r="AS386">
        <v>0</v>
      </c>
      <c r="AT386">
        <v>0</v>
      </c>
      <c r="AU386">
        <v>0</v>
      </c>
      <c r="AV386">
        <v>0</v>
      </c>
      <c r="AW386">
        <v>0</v>
      </c>
      <c r="AX386">
        <v>0</v>
      </c>
      <c r="AY386">
        <v>0</v>
      </c>
      <c r="AZ386">
        <v>0</v>
      </c>
      <c r="BA386">
        <v>0</v>
      </c>
      <c r="BB386">
        <v>1</v>
      </c>
    </row>
    <row r="387" spans="1:54" hidden="1" x14ac:dyDescent="0.3">
      <c r="A387" t="s">
        <v>393</v>
      </c>
      <c r="B387" t="s">
        <v>107</v>
      </c>
      <c r="C387">
        <v>42.671199999999999</v>
      </c>
      <c r="D387">
        <v>-97.872200000000007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0</v>
      </c>
      <c r="AQ387">
        <v>0</v>
      </c>
      <c r="AR387">
        <v>0</v>
      </c>
      <c r="AS387">
        <v>0</v>
      </c>
      <c r="AT387">
        <v>0</v>
      </c>
      <c r="AU387">
        <v>0</v>
      </c>
      <c r="AV387">
        <v>0</v>
      </c>
      <c r="AW387">
        <v>0</v>
      </c>
      <c r="AX387">
        <v>0</v>
      </c>
      <c r="AY387">
        <v>0</v>
      </c>
      <c r="AZ387">
        <v>0</v>
      </c>
      <c r="BA387">
        <v>0</v>
      </c>
      <c r="BB387">
        <v>1</v>
      </c>
    </row>
    <row r="388" spans="1:54" hidden="1" x14ac:dyDescent="0.3">
      <c r="A388" t="s">
        <v>394</v>
      </c>
      <c r="B388" t="s">
        <v>107</v>
      </c>
      <c r="C388">
        <v>40.868499999999997</v>
      </c>
      <c r="D388">
        <v>-81.251900000000006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0</v>
      </c>
      <c r="AQ388">
        <v>0</v>
      </c>
      <c r="AR388">
        <v>0</v>
      </c>
      <c r="AS388">
        <v>0</v>
      </c>
      <c r="AT388">
        <v>0</v>
      </c>
      <c r="AU388">
        <v>0</v>
      </c>
      <c r="AV388">
        <v>0</v>
      </c>
      <c r="AW388">
        <v>0</v>
      </c>
      <c r="AX388">
        <v>0</v>
      </c>
      <c r="AY388">
        <v>0</v>
      </c>
      <c r="AZ388">
        <v>0</v>
      </c>
      <c r="BA388">
        <v>0</v>
      </c>
      <c r="BB388">
        <v>1</v>
      </c>
    </row>
    <row r="389" spans="1:54" hidden="1" x14ac:dyDescent="0.3">
      <c r="A389" t="s">
        <v>395</v>
      </c>
      <c r="B389" t="s">
        <v>107</v>
      </c>
      <c r="C389">
        <v>45.329300000000003</v>
      </c>
      <c r="D389">
        <v>-93.219700000000003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v>0</v>
      </c>
      <c r="AP389">
        <v>0</v>
      </c>
      <c r="AQ389">
        <v>0</v>
      </c>
      <c r="AR389">
        <v>0</v>
      </c>
      <c r="AS389">
        <v>0</v>
      </c>
      <c r="AT389">
        <v>0</v>
      </c>
      <c r="AU389">
        <v>0</v>
      </c>
      <c r="AV389">
        <v>0</v>
      </c>
      <c r="AW389">
        <v>0</v>
      </c>
      <c r="AX389">
        <v>0</v>
      </c>
      <c r="AY389">
        <v>0</v>
      </c>
      <c r="AZ389">
        <v>0</v>
      </c>
      <c r="BA389">
        <v>0</v>
      </c>
      <c r="BB389">
        <v>1</v>
      </c>
    </row>
    <row r="390" spans="1:54" hidden="1" x14ac:dyDescent="0.3">
      <c r="A390" t="s">
        <v>396</v>
      </c>
      <c r="B390" t="s">
        <v>107</v>
      </c>
      <c r="C390">
        <v>43.995199999999997</v>
      </c>
      <c r="D390">
        <v>-92.381399999999999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v>0</v>
      </c>
      <c r="AP390">
        <v>0</v>
      </c>
      <c r="AQ390">
        <v>0</v>
      </c>
      <c r="AR390">
        <v>0</v>
      </c>
      <c r="AS390">
        <v>0</v>
      </c>
      <c r="AT390">
        <v>0</v>
      </c>
      <c r="AU390">
        <v>0</v>
      </c>
      <c r="AV390">
        <v>0</v>
      </c>
      <c r="AW390">
        <v>0</v>
      </c>
      <c r="AX390">
        <v>0</v>
      </c>
      <c r="AY390">
        <v>0</v>
      </c>
      <c r="AZ390">
        <v>0</v>
      </c>
      <c r="BA390">
        <v>0</v>
      </c>
      <c r="BB390">
        <v>1</v>
      </c>
    </row>
    <row r="391" spans="1:54" hidden="1" x14ac:dyDescent="0.3">
      <c r="A391" t="s">
        <v>397</v>
      </c>
      <c r="B391" t="s">
        <v>107</v>
      </c>
      <c r="C391">
        <v>40.829799999999999</v>
      </c>
      <c r="D391">
        <v>-110.9984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0</v>
      </c>
      <c r="AO391">
        <v>0</v>
      </c>
      <c r="AP391">
        <v>0</v>
      </c>
      <c r="AQ391">
        <v>0</v>
      </c>
      <c r="AR391">
        <v>0</v>
      </c>
      <c r="AS391">
        <v>0</v>
      </c>
      <c r="AT391">
        <v>0</v>
      </c>
      <c r="AU391">
        <v>0</v>
      </c>
      <c r="AV391">
        <v>0</v>
      </c>
      <c r="AW391">
        <v>0</v>
      </c>
      <c r="AX391">
        <v>0</v>
      </c>
      <c r="AY391">
        <v>0</v>
      </c>
      <c r="AZ391">
        <v>0</v>
      </c>
      <c r="BA391">
        <v>0</v>
      </c>
      <c r="BB391">
        <v>1</v>
      </c>
    </row>
    <row r="392" spans="1:54" hidden="1" x14ac:dyDescent="0.3">
      <c r="A392" t="s">
        <v>398</v>
      </c>
      <c r="B392" t="s">
        <v>107</v>
      </c>
      <c r="C392">
        <v>41.256</v>
      </c>
      <c r="D392">
        <v>-73.370900000000006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v>0</v>
      </c>
      <c r="AP392">
        <v>0</v>
      </c>
      <c r="AQ392">
        <v>0</v>
      </c>
      <c r="AR392">
        <v>0</v>
      </c>
      <c r="AS392">
        <v>0</v>
      </c>
      <c r="AT392">
        <v>0</v>
      </c>
      <c r="AU392">
        <v>0</v>
      </c>
      <c r="AV392">
        <v>0</v>
      </c>
      <c r="AW392">
        <v>0</v>
      </c>
      <c r="AX392">
        <v>0</v>
      </c>
      <c r="AY392">
        <v>0</v>
      </c>
      <c r="AZ392">
        <v>0</v>
      </c>
      <c r="BA392">
        <v>1</v>
      </c>
      <c r="BB392">
        <v>2</v>
      </c>
    </row>
    <row r="393" spans="1:54" hidden="1" x14ac:dyDescent="0.3">
      <c r="A393" t="s">
        <v>399</v>
      </c>
      <c r="B393" t="s">
        <v>107</v>
      </c>
      <c r="C393">
        <v>41.7866</v>
      </c>
      <c r="D393">
        <v>-73.276499999999999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0</v>
      </c>
      <c r="AO393">
        <v>0</v>
      </c>
      <c r="AP393">
        <v>0</v>
      </c>
      <c r="AQ393">
        <v>0</v>
      </c>
      <c r="AR393">
        <v>0</v>
      </c>
      <c r="AS393">
        <v>0</v>
      </c>
      <c r="AT393">
        <v>0</v>
      </c>
      <c r="AU393">
        <v>0</v>
      </c>
      <c r="AV393">
        <v>0</v>
      </c>
      <c r="AW393">
        <v>0</v>
      </c>
      <c r="AX393">
        <v>0</v>
      </c>
      <c r="AY393">
        <v>0</v>
      </c>
      <c r="AZ393">
        <v>0</v>
      </c>
      <c r="BA393">
        <v>0</v>
      </c>
      <c r="BB393">
        <v>1</v>
      </c>
    </row>
    <row r="394" spans="1:54" hidden="1" x14ac:dyDescent="0.3">
      <c r="A394" t="s">
        <v>400</v>
      </c>
      <c r="B394" t="s">
        <v>107</v>
      </c>
      <c r="C394">
        <v>29.9511</v>
      </c>
      <c r="D394">
        <v>-90.0715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v>0</v>
      </c>
      <c r="AV394">
        <v>0</v>
      </c>
      <c r="AW394">
        <v>0</v>
      </c>
      <c r="AX394">
        <v>0</v>
      </c>
      <c r="AY394">
        <v>0</v>
      </c>
      <c r="AZ394">
        <v>0</v>
      </c>
      <c r="BA394">
        <v>0</v>
      </c>
      <c r="BB394">
        <v>5</v>
      </c>
    </row>
    <row r="395" spans="1:54" hidden="1" x14ac:dyDescent="0.3">
      <c r="A395" t="s">
        <v>401</v>
      </c>
      <c r="B395" t="s">
        <v>107</v>
      </c>
      <c r="C395">
        <v>43.890099999999997</v>
      </c>
      <c r="D395">
        <v>-102.2548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v>0</v>
      </c>
      <c r="AV395">
        <v>0</v>
      </c>
      <c r="AW395">
        <v>0</v>
      </c>
      <c r="AX395">
        <v>0</v>
      </c>
      <c r="AY395">
        <v>0</v>
      </c>
      <c r="AZ395">
        <v>0</v>
      </c>
      <c r="BA395">
        <v>0</v>
      </c>
      <c r="BB395">
        <v>1</v>
      </c>
    </row>
    <row r="396" spans="1:54" hidden="1" x14ac:dyDescent="0.3">
      <c r="A396" t="s">
        <v>402</v>
      </c>
      <c r="B396" t="s">
        <v>107</v>
      </c>
      <c r="C396">
        <v>44.479700000000001</v>
      </c>
      <c r="D396">
        <v>-98.221299999999999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0</v>
      </c>
      <c r="AU396">
        <v>0</v>
      </c>
      <c r="AV396">
        <v>0</v>
      </c>
      <c r="AW396">
        <v>0</v>
      </c>
      <c r="AX396">
        <v>0</v>
      </c>
      <c r="AY396">
        <v>0</v>
      </c>
      <c r="AZ396">
        <v>0</v>
      </c>
      <c r="BA396">
        <v>0</v>
      </c>
      <c r="BB396">
        <v>1</v>
      </c>
    </row>
    <row r="397" spans="1:54" hidden="1" x14ac:dyDescent="0.3">
      <c r="A397" t="s">
        <v>403</v>
      </c>
      <c r="B397" t="s">
        <v>107</v>
      </c>
      <c r="C397">
        <v>43.098500000000001</v>
      </c>
      <c r="D397">
        <v>-98.396500000000003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v>0</v>
      </c>
      <c r="AV397">
        <v>0</v>
      </c>
      <c r="AW397">
        <v>0</v>
      </c>
      <c r="AX397">
        <v>0</v>
      </c>
      <c r="AY397">
        <v>0</v>
      </c>
      <c r="AZ397">
        <v>0</v>
      </c>
      <c r="BA397">
        <v>0</v>
      </c>
      <c r="BB397">
        <v>1</v>
      </c>
    </row>
    <row r="398" spans="1:54" hidden="1" x14ac:dyDescent="0.3">
      <c r="A398" t="s">
        <v>404</v>
      </c>
      <c r="B398" t="s">
        <v>107</v>
      </c>
      <c r="C398">
        <v>43.724200000000003</v>
      </c>
      <c r="D398">
        <v>-98.221299999999999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v>0</v>
      </c>
      <c r="AV398">
        <v>0</v>
      </c>
      <c r="AW398">
        <v>0</v>
      </c>
      <c r="AX398">
        <v>0</v>
      </c>
      <c r="AY398">
        <v>0</v>
      </c>
      <c r="AZ398">
        <v>0</v>
      </c>
      <c r="BA398">
        <v>0</v>
      </c>
      <c r="BB398">
        <v>1</v>
      </c>
    </row>
    <row r="399" spans="1:54" hidden="1" x14ac:dyDescent="0.3">
      <c r="A399" t="s">
        <v>405</v>
      </c>
      <c r="B399" t="s">
        <v>107</v>
      </c>
      <c r="C399">
        <v>43.663200000000003</v>
      </c>
      <c r="D399">
        <v>-96.835099999999997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v>0</v>
      </c>
      <c r="AV399">
        <v>0</v>
      </c>
      <c r="AW399">
        <v>0</v>
      </c>
      <c r="AX399">
        <v>0</v>
      </c>
      <c r="AY399">
        <v>0</v>
      </c>
      <c r="AZ399">
        <v>0</v>
      </c>
      <c r="BA399">
        <v>0</v>
      </c>
      <c r="BB399">
        <v>3</v>
      </c>
    </row>
    <row r="400" spans="1:54" hidden="1" x14ac:dyDescent="0.3">
      <c r="A400" t="s">
        <v>406</v>
      </c>
      <c r="B400" t="s">
        <v>107</v>
      </c>
      <c r="C400">
        <v>42.981499999999997</v>
      </c>
      <c r="D400">
        <v>-97.872200000000007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v>0</v>
      </c>
      <c r="AV400">
        <v>0</v>
      </c>
      <c r="AW400">
        <v>0</v>
      </c>
      <c r="AX400">
        <v>0</v>
      </c>
      <c r="AY400">
        <v>0</v>
      </c>
      <c r="AZ400">
        <v>0</v>
      </c>
      <c r="BA400">
        <v>0</v>
      </c>
      <c r="BB400">
        <v>1</v>
      </c>
    </row>
    <row r="401" spans="1:54" hidden="1" x14ac:dyDescent="0.3">
      <c r="A401" t="s">
        <v>407</v>
      </c>
      <c r="B401" t="s">
        <v>107</v>
      </c>
      <c r="C401">
        <v>33.883699999999997</v>
      </c>
      <c r="D401">
        <v>-106.7235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0</v>
      </c>
      <c r="AR401">
        <v>0</v>
      </c>
      <c r="AS401">
        <v>0</v>
      </c>
      <c r="AT401">
        <v>0</v>
      </c>
      <c r="AU401">
        <v>0</v>
      </c>
      <c r="AV401">
        <v>0</v>
      </c>
      <c r="AW401">
        <v>0</v>
      </c>
      <c r="AX401">
        <v>0</v>
      </c>
      <c r="AY401">
        <v>0</v>
      </c>
      <c r="AZ401">
        <v>0</v>
      </c>
      <c r="BA401">
        <v>0</v>
      </c>
      <c r="BB401">
        <v>2</v>
      </c>
    </row>
    <row r="402" spans="1:54" hidden="1" x14ac:dyDescent="0.3">
      <c r="A402" t="s">
        <v>408</v>
      </c>
      <c r="B402" t="s">
        <v>107</v>
      </c>
      <c r="C402">
        <v>35.017800000000001</v>
      </c>
      <c r="D402">
        <v>-106.62909999999999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0</v>
      </c>
      <c r="AR402">
        <v>0</v>
      </c>
      <c r="AS402">
        <v>0</v>
      </c>
      <c r="AT402">
        <v>0</v>
      </c>
      <c r="AU402">
        <v>0</v>
      </c>
      <c r="AV402">
        <v>0</v>
      </c>
      <c r="AW402">
        <v>0</v>
      </c>
      <c r="AX402">
        <v>0</v>
      </c>
      <c r="AY402">
        <v>0</v>
      </c>
      <c r="AZ402">
        <v>0</v>
      </c>
      <c r="BA402">
        <v>0</v>
      </c>
      <c r="BB402">
        <v>1</v>
      </c>
    </row>
    <row r="403" spans="1:54" hidden="1" x14ac:dyDescent="0.3">
      <c r="A403" t="s">
        <v>409</v>
      </c>
      <c r="B403" t="s">
        <v>107</v>
      </c>
      <c r="C403">
        <v>42.592199999999998</v>
      </c>
      <c r="D403">
        <v>-83.336200000000005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v>0</v>
      </c>
      <c r="AV403">
        <v>0</v>
      </c>
      <c r="AW403">
        <v>0</v>
      </c>
      <c r="AX403">
        <v>0</v>
      </c>
      <c r="AY403">
        <v>0</v>
      </c>
      <c r="AZ403">
        <v>0</v>
      </c>
      <c r="BA403">
        <v>0</v>
      </c>
      <c r="BB403">
        <v>1</v>
      </c>
    </row>
    <row r="404" spans="1:54" hidden="1" x14ac:dyDescent="0.3">
      <c r="A404" t="s">
        <v>410</v>
      </c>
      <c r="B404" t="s">
        <v>107</v>
      </c>
      <c r="C404">
        <v>42.2791</v>
      </c>
      <c r="D404">
        <v>-83.336200000000005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0</v>
      </c>
      <c r="AT404">
        <v>0</v>
      </c>
      <c r="AU404">
        <v>0</v>
      </c>
      <c r="AV404">
        <v>0</v>
      </c>
      <c r="AW404">
        <v>0</v>
      </c>
      <c r="AX404">
        <v>0</v>
      </c>
      <c r="AY404">
        <v>0</v>
      </c>
      <c r="AZ404">
        <v>0</v>
      </c>
      <c r="BA404">
        <v>0</v>
      </c>
      <c r="BB404">
        <v>1</v>
      </c>
    </row>
    <row r="405" spans="1:54" hidden="1" x14ac:dyDescent="0.3">
      <c r="A405" t="s">
        <v>411</v>
      </c>
      <c r="B405" t="s">
        <v>107</v>
      </c>
      <c r="C405">
        <v>39.539299999999997</v>
      </c>
      <c r="D405">
        <v>-75.667400000000001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0</v>
      </c>
      <c r="AS405">
        <v>0</v>
      </c>
      <c r="AT405">
        <v>0</v>
      </c>
      <c r="AU405">
        <v>0</v>
      </c>
      <c r="AV405">
        <v>0</v>
      </c>
      <c r="AW405">
        <v>0</v>
      </c>
      <c r="AX405">
        <v>0</v>
      </c>
      <c r="AY405">
        <v>0</v>
      </c>
      <c r="AZ405">
        <v>0</v>
      </c>
      <c r="BA405">
        <v>0</v>
      </c>
      <c r="BB405">
        <v>1</v>
      </c>
    </row>
    <row r="406" spans="1:54" x14ac:dyDescent="0.3">
      <c r="B406" t="s">
        <v>412</v>
      </c>
      <c r="E406">
        <f>SUMIF(Table1[[Country/Region]:[Country/Region]], "US", Table1[1/22/2020])</f>
        <v>1</v>
      </c>
      <c r="F406">
        <f>SUMIF(Table1[[Country/Region]:[Country/Region]], "US", Table1[1/23/2020])</f>
        <v>1</v>
      </c>
      <c r="G406">
        <f>SUMIF(Table1[[Country/Region]:[Country/Region]], "US", Table1[1/24/2020])</f>
        <v>2</v>
      </c>
      <c r="H406">
        <f>SUMIF(Table1[[Country/Region]:[Country/Region]], "US", Table1[1/25/2020])</f>
        <v>2</v>
      </c>
      <c r="I406">
        <f>SUMIF(Table1[[Country/Region]:[Country/Region]], "US", Table1[1/26/2020])</f>
        <v>5</v>
      </c>
      <c r="J406">
        <f>SUMIF(Table1[[Country/Region]:[Country/Region]], "US", Table1[1/27/2020])</f>
        <v>5</v>
      </c>
      <c r="K406">
        <f>SUMIF(Table1[[Country/Region]:[Country/Region]], "US", Table1[1/28/2020])</f>
        <v>5</v>
      </c>
      <c r="L406">
        <f>SUMIF(Table1[[Country/Region]:[Country/Region]], "US", Table1[1/29/2020])</f>
        <v>5</v>
      </c>
      <c r="M406">
        <f>SUMIF(Table1[[Country/Region]:[Country/Region]], "US", Table1[1/30/2020])</f>
        <v>5</v>
      </c>
      <c r="N406">
        <f>SUMIF(Table1[[Country/Region]:[Country/Region]], "US", Table1[1/31/2020])</f>
        <v>7</v>
      </c>
      <c r="O406">
        <f>SUMIF(Table1[[Country/Region]:[Country/Region]], "US", Table1[2/1/2020])</f>
        <v>8</v>
      </c>
      <c r="P406">
        <f>SUMIF(Table1[[Country/Region]:[Country/Region]], "US", Table1[2/2/2020])</f>
        <v>8</v>
      </c>
      <c r="Q406">
        <f>SUMIF(Table1[[Country/Region]:[Country/Region]], "US", Table1[2/3/2020])</f>
        <v>11</v>
      </c>
      <c r="R406">
        <f>SUMIF(Table1[[Country/Region]:[Country/Region]], "US", Table1[2/4/2020])</f>
        <v>11</v>
      </c>
      <c r="S406">
        <f>SUMIF(Table1[[Country/Region]:[Country/Region]], "US", Table1[2/5/2020])</f>
        <v>11</v>
      </c>
      <c r="T406">
        <f>SUMIF(Table1[[Country/Region]:[Country/Region]], "US", Table1[2/6/2020])</f>
        <v>11</v>
      </c>
      <c r="U406">
        <f>SUMIF(Table1[[Country/Region]:[Country/Region]], "US", Table1[2/7/2020])</f>
        <v>11</v>
      </c>
      <c r="V406">
        <f>SUMIF(Table1[[Country/Region]:[Country/Region]], "US", Table1[2/8/2020])</f>
        <v>11</v>
      </c>
      <c r="W406">
        <f>SUMIF(Table1[[Country/Region]:[Country/Region]], "US", Table1[2/9/2020])</f>
        <v>11</v>
      </c>
      <c r="X406">
        <f>SUMIF(Table1[[Country/Region]:[Country/Region]], "US", Table1[2/10/2020])</f>
        <v>11</v>
      </c>
      <c r="Y406">
        <f>SUMIF(Table1[[Country/Region]:[Country/Region]], "US", Table1[2/11/2020])</f>
        <v>12</v>
      </c>
      <c r="Z406">
        <f>SUMIF(Table1[[Country/Region]:[Country/Region]], "US", Table1[2/12/2020])</f>
        <v>12</v>
      </c>
      <c r="AA406">
        <f>SUMIF(Table1[[Country/Region]:[Country/Region]], "US", Table1[2/13/2020])</f>
        <v>13</v>
      </c>
      <c r="AB406">
        <f>SUMIF(Table1[[Country/Region]:[Country/Region]], "US", Table1[2/14/2020])</f>
        <v>13</v>
      </c>
      <c r="AC406">
        <f>SUMIF(Table1[[Country/Region]:[Country/Region]], "US", Table1[2/15/2020])</f>
        <v>13</v>
      </c>
      <c r="AD406">
        <f>SUMIF(Table1[[Country/Region]:[Country/Region]], "US", Table1[2/16/2020])</f>
        <v>13</v>
      </c>
      <c r="AE406">
        <f>SUMIF(Table1[[Country/Region]:[Country/Region]], "US", Table1[2/17/2020])</f>
        <v>13</v>
      </c>
      <c r="AF406">
        <f>SUMIF(Table1[[Country/Region]:[Country/Region]], "US", Table1[2/18/2020])</f>
        <v>13</v>
      </c>
      <c r="AG406">
        <f>SUMIF(Table1[[Country/Region]:[Country/Region]], "US", Table1[2/19/2020])</f>
        <v>13</v>
      </c>
      <c r="AH406">
        <f>SUMIF(Table1[[Country/Region]:[Country/Region]], "US", Table1[2/20/2020])</f>
        <v>13</v>
      </c>
      <c r="AI406">
        <f>SUMIF(Table1[[Country/Region]:[Country/Region]], "US", Table1[2/21/2020])</f>
        <v>15</v>
      </c>
      <c r="AJ406">
        <f>SUMIF(Table1[[Country/Region]:[Country/Region]], "US", Table1[2/22/2020])</f>
        <v>15</v>
      </c>
      <c r="AK406">
        <f>SUMIF(Table1[[Country/Region]:[Country/Region]], "US", Table1[2/23/2020])</f>
        <v>15</v>
      </c>
      <c r="AL406">
        <f>SUMIF(Table1[[Country/Region]:[Country/Region]], "US", Table1[2/24/2020])</f>
        <v>51</v>
      </c>
      <c r="AM406">
        <f>SUMIF(Table1[[Country/Region]:[Country/Region]], "US", Table1[2/25/2020])</f>
        <v>51</v>
      </c>
      <c r="AN406">
        <f>SUMIF(Table1[[Country/Region]:[Country/Region]], "US", Table1[2/26/2020])</f>
        <v>57</v>
      </c>
      <c r="AO406">
        <f>SUMIF(Table1[[Country/Region]:[Country/Region]], "US", Table1[2/27/2020])</f>
        <v>58</v>
      </c>
      <c r="AP406">
        <f>SUMIF(Table1[[Country/Region]:[Country/Region]], "US", Table1[2/28/2020])</f>
        <v>60</v>
      </c>
      <c r="AQ406">
        <f>SUMIF(Table1[[Country/Region]:[Country/Region]], "US", Table1[2/29/2020])</f>
        <v>68</v>
      </c>
      <c r="AR406">
        <f>SUMIF(Table1[[Country/Region]:[Country/Region]], "US", Table1[3/1/2020])</f>
        <v>74</v>
      </c>
      <c r="AS406">
        <f>SUMIF(Table1[[Country/Region]:[Country/Region]], "US", Table1[3/2/2020])</f>
        <v>98</v>
      </c>
      <c r="AT406">
        <f>SUMIF(Table1[[Country/Region]:[Country/Region]], "US", Table1[3/3/2020])</f>
        <v>118</v>
      </c>
      <c r="AU406">
        <f>SUMIF(Table1[[Country/Region]:[Country/Region]], "US", Table1[3/4/2020])</f>
        <v>149</v>
      </c>
      <c r="AV406">
        <f>SUMIF(Table1[[Country/Region]:[Country/Region]], "US", Table1[3/5/2020])</f>
        <v>217</v>
      </c>
      <c r="AW406">
        <f>SUMIF(Table1[[Country/Region]:[Country/Region]], "US", Table1[3/6/2020])</f>
        <v>262</v>
      </c>
      <c r="AX406">
        <f>SUMIF(Table1[[Country/Region]:[Country/Region]], "US", Table1[3/7/2020])</f>
        <v>402</v>
      </c>
      <c r="AY406">
        <f>SUMIF(Table1[[Country/Region]:[Country/Region]], "US", Table1[3/8/2020])</f>
        <v>518</v>
      </c>
      <c r="AZ406">
        <f>SUMIF(Table1[[Country/Region]:[Country/Region]], "US", Table1[3/9/2020])</f>
        <v>583</v>
      </c>
      <c r="BA406">
        <f>SUMIF(Table1[[Country/Region]:[Country/Region]], "US", Table1[3/10/2020])</f>
        <v>1665</v>
      </c>
      <c r="BB406">
        <f>SUMIF(Table1[[Country/Region]:[Country/Region]], "US", Table1[3/11/2020])</f>
        <v>2384</v>
      </c>
    </row>
    <row r="407" spans="1:54" x14ac:dyDescent="0.3">
      <c r="F407">
        <f>SUMIFS( Table1[1/23/2020], Table1[[Country/Region]:[Country/Region]], "US", Table1[[Province/State]:[Province/State]], "*,*")</f>
        <v>1</v>
      </c>
      <c r="G407">
        <f>SUMIFS( Table1[1/24/2020], Table1[[Country/Region]:[Country/Region]], "US", Table1[[Province/State]:[Province/State]], "*,*")</f>
        <v>2</v>
      </c>
      <c r="H407">
        <f>SUMIFS( Table1[1/25/2020], Table1[[Country/Region]:[Country/Region]], "US", Table1[[Province/State]:[Province/State]], "*,*")</f>
        <v>2</v>
      </c>
      <c r="I407">
        <f>SUMIFS( Table1[1/26/2020], Table1[[Country/Region]:[Country/Region]], "US", Table1[[Province/State]:[Province/State]], "*,*")</f>
        <v>5</v>
      </c>
      <c r="J407">
        <f>SUMIFS( Table1[1/27/2020], Table1[[Country/Region]:[Country/Region]], "US", Table1[[Province/State]:[Province/State]], "*,*")</f>
        <v>5</v>
      </c>
      <c r="K407">
        <f>SUMIFS( Table1[1/28/2020], Table1[[Country/Region]:[Country/Region]], "US", Table1[[Province/State]:[Province/State]], "*,*")</f>
        <v>5</v>
      </c>
      <c r="L407">
        <f>SUMIFS( Table1[1/29/2020], Table1[[Country/Region]:[Country/Region]], "US", Table1[[Province/State]:[Province/State]], "*,*")</f>
        <v>5</v>
      </c>
      <c r="M407">
        <f>SUMIFS( Table1[1/30/2020], Table1[[Country/Region]:[Country/Region]], "US", Table1[[Province/State]:[Province/State]], "*,*")</f>
        <v>5</v>
      </c>
      <c r="N407">
        <f>SUMIFS( Table1[1/31/2020], Table1[[Country/Region]:[Country/Region]], "US", Table1[[Province/State]:[Province/State]], "*,*")</f>
        <v>7</v>
      </c>
      <c r="O407">
        <f>SUMIFS( Table1[2/1/2020], Table1[[Country/Region]:[Country/Region]], "US", Table1[[Province/State]:[Province/State]], "*,*")</f>
        <v>8</v>
      </c>
      <c r="P407">
        <f>SUMIFS( Table1[2/2/2020], Table1[[Country/Region]:[Country/Region]], "US", Table1[[Province/State]:[Province/State]], "*,*")</f>
        <v>8</v>
      </c>
      <c r="Q407">
        <f>SUMIFS( Table1[2/3/2020], Table1[[Country/Region]:[Country/Region]], "US", Table1[[Province/State]:[Province/State]], "*,*")</f>
        <v>11</v>
      </c>
      <c r="R407">
        <f>SUMIFS( Table1[2/4/2020], Table1[[Country/Region]:[Country/Region]], "US", Table1[[Province/State]:[Province/State]], "*,*")</f>
        <v>11</v>
      </c>
      <c r="S407">
        <f>SUMIFS( Table1[2/5/2020], Table1[[Country/Region]:[Country/Region]], "US", Table1[[Province/State]:[Province/State]], "*,*")</f>
        <v>11</v>
      </c>
      <c r="T407">
        <f>SUMIFS( Table1[2/6/2020], Table1[[Country/Region]:[Country/Region]], "US", Table1[[Province/State]:[Province/State]], "*,*")</f>
        <v>11</v>
      </c>
      <c r="U407">
        <f>SUMIFS( Table1[2/7/2020], Table1[[Country/Region]:[Country/Region]], "US", Table1[[Province/State]:[Province/State]], "*,*")</f>
        <v>11</v>
      </c>
      <c r="V407">
        <f>SUMIFS( Table1[2/8/2020], Table1[[Country/Region]:[Country/Region]], "US", Table1[[Province/State]:[Province/State]], "*,*")</f>
        <v>11</v>
      </c>
      <c r="W407">
        <f>SUMIFS( Table1[2/9/2020], Table1[[Country/Region]:[Country/Region]], "US", Table1[[Province/State]:[Province/State]], "*,*")</f>
        <v>11</v>
      </c>
      <c r="X407">
        <f>SUMIFS( Table1[2/10/2020], Table1[[Country/Region]:[Country/Region]], "US", Table1[[Province/State]:[Province/State]], "*,*")</f>
        <v>11</v>
      </c>
      <c r="Y407">
        <f>SUMIFS( Table1[2/11/2020], Table1[[Country/Region]:[Country/Region]], "US", Table1[[Province/State]:[Province/State]], "*,*")</f>
        <v>12</v>
      </c>
      <c r="Z407">
        <f>SUMIFS( Table1[2/12/2020], Table1[[Country/Region]:[Country/Region]], "US", Table1[[Province/State]:[Province/State]], "*,*")</f>
        <v>12</v>
      </c>
      <c r="AA407">
        <f>SUMIFS( Table1[2/13/2020], Table1[[Country/Region]:[Country/Region]], "US", Table1[[Province/State]:[Province/State]], "*,*")</f>
        <v>13</v>
      </c>
      <c r="AB407">
        <f>SUMIFS( Table1[2/14/2020], Table1[[Country/Region]:[Country/Region]], "US", Table1[[Province/State]:[Province/State]], "*,*")</f>
        <v>13</v>
      </c>
      <c r="AC407">
        <f>SUMIFS( Table1[2/15/2020], Table1[[Country/Region]:[Country/Region]], "US", Table1[[Province/State]:[Province/State]], "*,*")</f>
        <v>13</v>
      </c>
      <c r="AD407">
        <f>SUMIFS( Table1[2/16/2020], Table1[[Country/Region]:[Country/Region]], "US", Table1[[Province/State]:[Province/State]], "*,*")</f>
        <v>13</v>
      </c>
      <c r="AE407">
        <f>SUMIFS( Table1[2/17/2020], Table1[[Country/Region]:[Country/Region]], "US", Table1[[Province/State]:[Province/State]], "*,*")</f>
        <v>13</v>
      </c>
      <c r="AF407">
        <f>SUMIFS( Table1[2/18/2020], Table1[[Country/Region]:[Country/Region]], "US", Table1[[Province/State]:[Province/State]], "*,*")</f>
        <v>13</v>
      </c>
      <c r="AG407">
        <f>SUMIFS( Table1[2/19/2020], Table1[[Country/Region]:[Country/Region]], "US", Table1[[Province/State]:[Province/State]], "*,*")</f>
        <v>13</v>
      </c>
      <c r="AH407">
        <f>SUMIFS( Table1[2/20/2020], Table1[[Country/Region]:[Country/Region]], "US", Table1[[Province/State]:[Province/State]], "*,*")</f>
        <v>13</v>
      </c>
      <c r="AI407">
        <f>SUMIFS( Table1[2/21/2020], Table1[[Country/Region]:[Country/Region]], "US", Table1[[Province/State]:[Province/State]], "*,*")</f>
        <v>15</v>
      </c>
      <c r="AJ407">
        <f>SUMIFS( Table1[2/22/2020], Table1[[Country/Region]:[Country/Region]], "US", Table1[[Province/State]:[Province/State]], "*,*")</f>
        <v>15</v>
      </c>
      <c r="AK407">
        <f>SUMIFS( Table1[2/23/2020], Table1[[Country/Region]:[Country/Region]], "US", Table1[[Province/State]:[Province/State]], "*,*")</f>
        <v>15</v>
      </c>
      <c r="AL407">
        <f>SUMIFS( Table1[2/24/2020], Table1[[Country/Region]:[Country/Region]], "US", Table1[[Province/State]:[Province/State]], "*,*")</f>
        <v>15</v>
      </c>
      <c r="AM407">
        <f>SUMIFS( Table1[2/25/2020], Table1[[Country/Region]:[Country/Region]], "US", Table1[[Province/State]:[Province/State]], "*,*")</f>
        <v>15</v>
      </c>
      <c r="AN407">
        <f>SUMIFS( Table1[2/26/2020], Table1[[Country/Region]:[Country/Region]], "US", Table1[[Province/State]:[Province/State]], "*,*")</f>
        <v>15</v>
      </c>
      <c r="AO407">
        <f>SUMIFS( Table1[2/27/2020], Table1[[Country/Region]:[Country/Region]], "US", Table1[[Province/State]:[Province/State]], "*,*")</f>
        <v>16</v>
      </c>
      <c r="AP407">
        <f>SUMIFS( Table1[2/28/2020], Table1[[Country/Region]:[Country/Region]], "US", Table1[[Province/State]:[Province/State]], "*,*")</f>
        <v>16</v>
      </c>
      <c r="AQ407">
        <f>SUMIFS( Table1[2/29/2020], Table1[[Country/Region]:[Country/Region]], "US", Table1[[Province/State]:[Province/State]], "*,*")</f>
        <v>24</v>
      </c>
      <c r="AR407">
        <f>SUMIFS( Table1[3/1/2020], Table1[[Country/Region]:[Country/Region]], "US", Table1[[Province/State]:[Province/State]], "*,*")</f>
        <v>30</v>
      </c>
      <c r="AS407">
        <f>SUMIFS( Table1[3/2/2020], Table1[[Country/Region]:[Country/Region]], "US", Table1[[Province/State]:[Province/State]], "*,*")</f>
        <v>53</v>
      </c>
      <c r="AT407">
        <f>SUMIFS( Table1[3/3/2020], Table1[[Country/Region]:[Country/Region]], "US", Table1[[Province/State]:[Province/State]], "*,*")</f>
        <v>73</v>
      </c>
      <c r="AU407">
        <f>SUMIFS( Table1[3/4/2020], Table1[[Country/Region]:[Country/Region]], "US", Table1[[Province/State]:[Province/State]], "*,*")</f>
        <v>104</v>
      </c>
      <c r="AV407">
        <f>SUMIFS( Table1[3/5/2020], Table1[[Country/Region]:[Country/Region]], "US", Table1[[Province/State]:[Province/State]], "*,*")</f>
        <v>172</v>
      </c>
      <c r="AW407">
        <f>SUMIFS( Table1[3/6/2020], Table1[[Country/Region]:[Country/Region]], "US", Table1[[Province/State]:[Province/State]], "*,*")</f>
        <v>217</v>
      </c>
      <c r="AX407">
        <f>SUMIFS( Table1[3/7/2020], Table1[[Country/Region]:[Country/Region]], "US", Table1[[Province/State]:[Province/State]], "*,*")</f>
        <v>336</v>
      </c>
      <c r="AY407">
        <f>SUMIFS( Table1[3/8/2020], Table1[[Country/Region]:[Country/Region]], "US", Table1[[Province/State]:[Province/State]], "*,*")</f>
        <v>452</v>
      </c>
      <c r="AZ407">
        <f>SUMIFS( Table1[3/9/2020], Table1[[Country/Region]:[Country/Region]], "US", Table1[[Province/State]:[Province/State]], "*,*")</f>
        <v>517</v>
      </c>
      <c r="BA407">
        <f>SUMIFS( Table1[3/10/2020], Table1[[Country/Region]:[Country/Region]], "US", Table1[[Province/State]:[Province/State]], "*,*")</f>
        <v>706</v>
      </c>
      <c r="BB407">
        <f>SUMIFS( Table1[3/11/2020], Table1[[Country/Region]:[Country/Region]], "US", Table1[[Province/State]:[Province/State]], "*,*")</f>
        <v>1103</v>
      </c>
    </row>
    <row r="408" spans="1:54" x14ac:dyDescent="0.3">
      <c r="B408" t="s">
        <v>463</v>
      </c>
      <c r="E408">
        <f>SUMIF(Table1[[Country/Region]:[Country/Region]], "China", Table1[1/22/2020])</f>
        <v>548</v>
      </c>
      <c r="F408">
        <f>SUMIF(Table1[[Country/Region]:[Country/Region]], "China", Table1[1/23/2020])</f>
        <v>643</v>
      </c>
      <c r="G408">
        <f>SUMIF(Table1[[Country/Region]:[Country/Region]], "China", Table1[1/24/2020])</f>
        <v>920</v>
      </c>
      <c r="H408">
        <f>SUMIF(Table1[[Country/Region]:[Country/Region]], "China", Table1[1/25/2020])</f>
        <v>1406</v>
      </c>
      <c r="I408">
        <f>SUMIF(Table1[[Country/Region]:[Country/Region]], "China", Table1[1/26/2020])</f>
        <v>2075</v>
      </c>
      <c r="J408">
        <f>SUMIF(Table1[[Country/Region]:[Country/Region]], "China", Table1[1/27/2020])</f>
        <v>2877</v>
      </c>
      <c r="K408">
        <f>SUMIF(Table1[[Country/Region]:[Country/Region]], "China", Table1[1/28/2020])</f>
        <v>5509</v>
      </c>
      <c r="L408">
        <f>SUMIF(Table1[[Country/Region]:[Country/Region]], "China", Table1[1/29/2020])</f>
        <v>6087</v>
      </c>
      <c r="M408">
        <f>SUMIF(Table1[[Country/Region]:[Country/Region]], "China", Table1[1/30/2020])</f>
        <v>8141</v>
      </c>
      <c r="N408">
        <f>SUMIF(Table1[[Country/Region]:[Country/Region]], "China", Table1[1/31/2020])</f>
        <v>9802</v>
      </c>
      <c r="O408">
        <f>SUMIF(Table1[[Country/Region]:[Country/Region]], "China", Table1[2/1/2020])</f>
        <v>11891</v>
      </c>
      <c r="P408">
        <f>SUMIF(Table1[[Country/Region]:[Country/Region]], "China", Table1[2/2/2020])</f>
        <v>16630</v>
      </c>
      <c r="Q408">
        <f>SUMIF(Table1[[Country/Region]:[Country/Region]], "China", Table1[2/3/2020])</f>
        <v>19716</v>
      </c>
      <c r="R408">
        <f>SUMIF(Table1[[Country/Region]:[Country/Region]], "China", Table1[2/4/2020])</f>
        <v>23707</v>
      </c>
      <c r="S408">
        <f>SUMIF(Table1[[Country/Region]:[Country/Region]], "China", Table1[2/5/2020])</f>
        <v>27440</v>
      </c>
      <c r="T408">
        <f>SUMIF(Table1[[Country/Region]:[Country/Region]], "China", Table1[2/6/2020])</f>
        <v>30587</v>
      </c>
      <c r="U408">
        <f>SUMIF(Table1[[Country/Region]:[Country/Region]], "China", Table1[2/7/2020])</f>
        <v>34110</v>
      </c>
      <c r="V408">
        <f>SUMIF(Table1[[Country/Region]:[Country/Region]], "China", Table1[2/8/2020])</f>
        <v>36814</v>
      </c>
      <c r="W408">
        <f>SUMIF(Table1[[Country/Region]:[Country/Region]], "China", Table1[2/9/2020])</f>
        <v>39829</v>
      </c>
      <c r="X408">
        <f>SUMIF(Table1[[Country/Region]:[Country/Region]], "China", Table1[2/10/2020])</f>
        <v>42354</v>
      </c>
      <c r="Y408">
        <f>SUMIF(Table1[[Country/Region]:[Country/Region]], "China", Table1[2/11/2020])</f>
        <v>44386</v>
      </c>
      <c r="Z408">
        <f>SUMIF(Table1[[Country/Region]:[Country/Region]], "China", Table1[2/12/2020])</f>
        <v>44759</v>
      </c>
      <c r="AA408">
        <f>SUMIF(Table1[[Country/Region]:[Country/Region]], "China", Table1[2/13/2020])</f>
        <v>59895</v>
      </c>
      <c r="AB408">
        <f>SUMIF(Table1[[Country/Region]:[Country/Region]], "China", Table1[2/14/2020])</f>
        <v>66358</v>
      </c>
      <c r="AC408">
        <f>SUMIF(Table1[[Country/Region]:[Country/Region]], "China", Table1[2/15/2020])</f>
        <v>68413</v>
      </c>
      <c r="AD408">
        <f>SUMIF(Table1[[Country/Region]:[Country/Region]], "China", Table1[2/16/2020])</f>
        <v>70513</v>
      </c>
      <c r="AE408">
        <f>SUMIF(Table1[[Country/Region]:[Country/Region]], "China", Table1[2/17/2020])</f>
        <v>72434</v>
      </c>
      <c r="AF408">
        <f>SUMIF(Table1[[Country/Region]:[Country/Region]], "China", Table1[2/18/2020])</f>
        <v>74211</v>
      </c>
      <c r="AG408">
        <f>SUMIF(Table1[[Country/Region]:[Country/Region]], "China", Table1[2/19/2020])</f>
        <v>74619</v>
      </c>
      <c r="AH408">
        <f>SUMIF(Table1[[Country/Region]:[Country/Region]], "China", Table1[2/20/2020])</f>
        <v>75077</v>
      </c>
      <c r="AI408">
        <f>SUMIF(Table1[[Country/Region]:[Country/Region]], "China", Table1[2/21/2020])</f>
        <v>75550</v>
      </c>
      <c r="AJ408">
        <f>SUMIF(Table1[[Country/Region]:[Country/Region]], "China", Table1[2/22/2020])</f>
        <v>77001</v>
      </c>
      <c r="AK408">
        <f>SUMIF(Table1[[Country/Region]:[Country/Region]], "China", Table1[2/23/2020])</f>
        <v>77022</v>
      </c>
      <c r="AL408">
        <f>SUMIF(Table1[[Country/Region]:[Country/Region]], "China", Table1[2/24/2020])</f>
        <v>77241</v>
      </c>
      <c r="AM408">
        <f>SUMIF(Table1[[Country/Region]:[Country/Region]], "China", Table1[2/25/2020])</f>
        <v>77754</v>
      </c>
      <c r="AN408">
        <f>SUMIF(Table1[[Country/Region]:[Country/Region]], "China", Table1[2/26/2020])</f>
        <v>78166</v>
      </c>
      <c r="AO408">
        <f>SUMIF(Table1[[Country/Region]:[Country/Region]], "China", Table1[2/27/2020])</f>
        <v>78600</v>
      </c>
      <c r="AP408">
        <f>SUMIF(Table1[[Country/Region]:[Country/Region]], "China", Table1[2/28/2020])</f>
        <v>78928</v>
      </c>
      <c r="AQ408">
        <f>SUMIF(Table1[[Country/Region]:[Country/Region]], "China", Table1[2/29/2020])</f>
        <v>79356</v>
      </c>
      <c r="AR408">
        <f>SUMIF(Table1[[Country/Region]:[Country/Region]], "China", Table1[3/1/2020])</f>
        <v>79932</v>
      </c>
      <c r="AS408">
        <f>SUMIF(Table1[[Country/Region]:[Country/Region]], "China", Table1[3/2/2020])</f>
        <v>80136</v>
      </c>
      <c r="AT408">
        <f>SUMIF(Table1[[Country/Region]:[Country/Region]], "China", Table1[3/3/2020])</f>
        <v>80261</v>
      </c>
      <c r="AU408">
        <f>SUMIF(Table1[[Country/Region]:[Country/Region]], "China", Table1[3/4/2020])</f>
        <v>80386</v>
      </c>
      <c r="AV408">
        <f>SUMIF(Table1[[Country/Region]:[Country/Region]], "China", Table1[3/5/2020])</f>
        <v>80537</v>
      </c>
      <c r="AW408">
        <f>SUMIF(Table1[[Country/Region]:[Country/Region]], "China", Table1[3/6/2020])</f>
        <v>80690</v>
      </c>
      <c r="AX408">
        <f>SUMIF(Table1[[Country/Region]:[Country/Region]], "China", Table1[3/7/2020])</f>
        <v>80770</v>
      </c>
      <c r="AY408">
        <f>SUMIF(Table1[[Country/Region]:[Country/Region]], "China", Table1[3/8/2020])</f>
        <v>80823</v>
      </c>
      <c r="AZ408">
        <f>SUMIF(Table1[[Country/Region]:[Country/Region]], "China", Table1[3/9/2020])</f>
        <v>80860</v>
      </c>
      <c r="BA408">
        <f>SUMIF(Table1[[Country/Region]:[Country/Region]], "China", Table1[3/10/2020])</f>
        <v>80887</v>
      </c>
      <c r="BB408">
        <f>SUMIF(Table1[[Country/Region]:[Country/Region]], "China", Table1[3/11/2020])</f>
        <v>80921</v>
      </c>
    </row>
    <row r="411" spans="1:54" x14ac:dyDescent="0.3">
      <c r="B411" t="s">
        <v>464</v>
      </c>
      <c r="F411">
        <f>F13-E13</f>
        <v>0</v>
      </c>
      <c r="G411">
        <f t="shared" ref="G411:BB411" si="0">G13-F13</f>
        <v>0</v>
      </c>
      <c r="H411">
        <f t="shared" si="0"/>
        <v>0</v>
      </c>
      <c r="I411">
        <f t="shared" si="0"/>
        <v>0</v>
      </c>
      <c r="J411">
        <f t="shared" si="0"/>
        <v>1</v>
      </c>
      <c r="K411">
        <f t="shared" si="0"/>
        <v>3</v>
      </c>
      <c r="L411">
        <f t="shared" si="0"/>
        <v>0</v>
      </c>
      <c r="M411">
        <f t="shared" si="0"/>
        <v>0</v>
      </c>
      <c r="N411">
        <f t="shared" si="0"/>
        <v>1</v>
      </c>
      <c r="O411">
        <f t="shared" si="0"/>
        <v>3</v>
      </c>
      <c r="P411">
        <f t="shared" si="0"/>
        <v>2</v>
      </c>
      <c r="Q411">
        <f t="shared" si="0"/>
        <v>2</v>
      </c>
      <c r="R411">
        <f t="shared" si="0"/>
        <v>0</v>
      </c>
      <c r="S411">
        <f t="shared" si="0"/>
        <v>0</v>
      </c>
      <c r="T411">
        <f t="shared" si="0"/>
        <v>0</v>
      </c>
      <c r="U411">
        <f t="shared" si="0"/>
        <v>1</v>
      </c>
      <c r="V411">
        <f t="shared" si="0"/>
        <v>0</v>
      </c>
      <c r="W411">
        <f t="shared" si="0"/>
        <v>1</v>
      </c>
      <c r="X411">
        <f t="shared" si="0"/>
        <v>0</v>
      </c>
      <c r="Y411">
        <f t="shared" si="0"/>
        <v>2</v>
      </c>
      <c r="Z411">
        <f t="shared" si="0"/>
        <v>0</v>
      </c>
      <c r="AA411">
        <f t="shared" si="0"/>
        <v>0</v>
      </c>
      <c r="AB411">
        <f t="shared" si="0"/>
        <v>0</v>
      </c>
      <c r="AC411">
        <f t="shared" si="0"/>
        <v>0</v>
      </c>
      <c r="AD411">
        <f t="shared" si="0"/>
        <v>0</v>
      </c>
      <c r="AE411">
        <f t="shared" si="0"/>
        <v>0</v>
      </c>
      <c r="AF411">
        <f t="shared" si="0"/>
        <v>0</v>
      </c>
      <c r="AG411">
        <f t="shared" si="0"/>
        <v>0</v>
      </c>
      <c r="AH411">
        <f t="shared" si="0"/>
        <v>0</v>
      </c>
      <c r="AI411">
        <f t="shared" si="0"/>
        <v>0</v>
      </c>
      <c r="AJ411">
        <f t="shared" si="0"/>
        <v>0</v>
      </c>
      <c r="AK411">
        <f t="shared" si="0"/>
        <v>0</v>
      </c>
      <c r="AL411">
        <f t="shared" si="0"/>
        <v>0</v>
      </c>
      <c r="AM411">
        <f t="shared" si="0"/>
        <v>1</v>
      </c>
      <c r="AN411">
        <f t="shared" si="0"/>
        <v>10</v>
      </c>
      <c r="AO411">
        <f t="shared" si="0"/>
        <v>19</v>
      </c>
      <c r="AP411">
        <f t="shared" si="0"/>
        <v>2</v>
      </c>
      <c r="AQ411">
        <f t="shared" si="0"/>
        <v>31</v>
      </c>
      <c r="AR411">
        <f t="shared" si="0"/>
        <v>51</v>
      </c>
      <c r="AS411">
        <f t="shared" si="0"/>
        <v>29</v>
      </c>
      <c r="AT411">
        <f t="shared" si="0"/>
        <v>37</v>
      </c>
      <c r="AU411">
        <f t="shared" si="0"/>
        <v>66</v>
      </c>
      <c r="AV411">
        <f t="shared" si="0"/>
        <v>220</v>
      </c>
      <c r="AW411">
        <f t="shared" si="0"/>
        <v>188</v>
      </c>
      <c r="AX411">
        <f t="shared" si="0"/>
        <v>129</v>
      </c>
      <c r="AY411">
        <f t="shared" si="0"/>
        <v>241</v>
      </c>
      <c r="AZ411">
        <f t="shared" si="0"/>
        <v>136</v>
      </c>
      <c r="BA411">
        <f t="shared" si="0"/>
        <v>281</v>
      </c>
      <c r="BB411">
        <f t="shared" si="0"/>
        <v>451</v>
      </c>
    </row>
    <row r="412" spans="1:54" x14ac:dyDescent="0.3">
      <c r="B412" t="s">
        <v>465</v>
      </c>
      <c r="F412">
        <f>F18-E18</f>
        <v>0</v>
      </c>
      <c r="G412">
        <f t="shared" ref="G412:BB412" si="1">G18-F18</f>
        <v>0</v>
      </c>
      <c r="H412">
        <f t="shared" si="1"/>
        <v>0</v>
      </c>
      <c r="I412">
        <f t="shared" si="1"/>
        <v>0</v>
      </c>
      <c r="J412">
        <f t="shared" si="1"/>
        <v>0</v>
      </c>
      <c r="K412">
        <f t="shared" si="1"/>
        <v>0</v>
      </c>
      <c r="L412">
        <f t="shared" si="1"/>
        <v>0</v>
      </c>
      <c r="M412">
        <f t="shared" si="1"/>
        <v>0</v>
      </c>
      <c r="N412">
        <f t="shared" si="1"/>
        <v>2</v>
      </c>
      <c r="O412">
        <f t="shared" si="1"/>
        <v>0</v>
      </c>
      <c r="P412">
        <f t="shared" si="1"/>
        <v>0</v>
      </c>
      <c r="Q412">
        <f t="shared" si="1"/>
        <v>0</v>
      </c>
      <c r="R412">
        <f t="shared" si="1"/>
        <v>0</v>
      </c>
      <c r="S412">
        <f t="shared" si="1"/>
        <v>0</v>
      </c>
      <c r="T412">
        <f t="shared" si="1"/>
        <v>0</v>
      </c>
      <c r="U412">
        <f t="shared" si="1"/>
        <v>1</v>
      </c>
      <c r="V412">
        <f t="shared" si="1"/>
        <v>0</v>
      </c>
      <c r="W412">
        <f t="shared" si="1"/>
        <v>0</v>
      </c>
      <c r="X412">
        <f t="shared" si="1"/>
        <v>0</v>
      </c>
      <c r="Y412">
        <f t="shared" si="1"/>
        <v>0</v>
      </c>
      <c r="Z412">
        <f t="shared" si="1"/>
        <v>0</v>
      </c>
      <c r="AA412">
        <f t="shared" si="1"/>
        <v>0</v>
      </c>
      <c r="AB412">
        <f t="shared" si="1"/>
        <v>0</v>
      </c>
      <c r="AC412">
        <f t="shared" si="1"/>
        <v>0</v>
      </c>
      <c r="AD412">
        <f t="shared" si="1"/>
        <v>0</v>
      </c>
      <c r="AE412">
        <f t="shared" si="1"/>
        <v>0</v>
      </c>
      <c r="AF412">
        <f t="shared" si="1"/>
        <v>0</v>
      </c>
      <c r="AG412">
        <f t="shared" si="1"/>
        <v>0</v>
      </c>
      <c r="AH412">
        <f t="shared" si="1"/>
        <v>0</v>
      </c>
      <c r="AI412">
        <f t="shared" si="1"/>
        <v>17</v>
      </c>
      <c r="AJ412">
        <f t="shared" si="1"/>
        <v>42</v>
      </c>
      <c r="AK412">
        <f t="shared" si="1"/>
        <v>93</v>
      </c>
      <c r="AL412">
        <f t="shared" si="1"/>
        <v>74</v>
      </c>
      <c r="AM412">
        <f t="shared" si="1"/>
        <v>93</v>
      </c>
      <c r="AN412">
        <f t="shared" si="1"/>
        <v>131</v>
      </c>
      <c r="AO412">
        <f t="shared" si="1"/>
        <v>202</v>
      </c>
      <c r="AP412">
        <f t="shared" si="1"/>
        <v>233</v>
      </c>
      <c r="AQ412">
        <f t="shared" si="1"/>
        <v>240</v>
      </c>
      <c r="AR412">
        <f t="shared" si="1"/>
        <v>566</v>
      </c>
      <c r="AS412">
        <f t="shared" si="1"/>
        <v>342</v>
      </c>
      <c r="AT412">
        <f t="shared" si="1"/>
        <v>466</v>
      </c>
      <c r="AU412">
        <f t="shared" si="1"/>
        <v>587</v>
      </c>
      <c r="AV412">
        <f t="shared" si="1"/>
        <v>769</v>
      </c>
      <c r="AW412">
        <f t="shared" si="1"/>
        <v>778</v>
      </c>
      <c r="AX412">
        <f t="shared" si="1"/>
        <v>1247</v>
      </c>
      <c r="AY412">
        <f t="shared" si="1"/>
        <v>1492</v>
      </c>
      <c r="AZ412">
        <f t="shared" si="1"/>
        <v>1797</v>
      </c>
      <c r="BA412">
        <f t="shared" si="1"/>
        <v>977</v>
      </c>
      <c r="BB412">
        <f t="shared" si="1"/>
        <v>2313</v>
      </c>
    </row>
    <row r="413" spans="1:54" x14ac:dyDescent="0.3">
      <c r="B413" t="s">
        <v>466</v>
      </c>
      <c r="F413">
        <f>F406-E406</f>
        <v>0</v>
      </c>
      <c r="G413">
        <f t="shared" ref="G413:BB413" si="2">G406-F406</f>
        <v>1</v>
      </c>
      <c r="H413">
        <f t="shared" si="2"/>
        <v>0</v>
      </c>
      <c r="I413">
        <f t="shared" si="2"/>
        <v>3</v>
      </c>
      <c r="J413">
        <f t="shared" si="2"/>
        <v>0</v>
      </c>
      <c r="K413">
        <f t="shared" si="2"/>
        <v>0</v>
      </c>
      <c r="L413">
        <f t="shared" si="2"/>
        <v>0</v>
      </c>
      <c r="M413">
        <f t="shared" si="2"/>
        <v>0</v>
      </c>
      <c r="N413">
        <f t="shared" si="2"/>
        <v>2</v>
      </c>
      <c r="O413">
        <f t="shared" si="2"/>
        <v>1</v>
      </c>
      <c r="P413">
        <f t="shared" si="2"/>
        <v>0</v>
      </c>
      <c r="Q413">
        <f t="shared" si="2"/>
        <v>3</v>
      </c>
      <c r="R413">
        <f t="shared" si="2"/>
        <v>0</v>
      </c>
      <c r="S413">
        <f t="shared" si="2"/>
        <v>0</v>
      </c>
      <c r="T413">
        <f t="shared" si="2"/>
        <v>0</v>
      </c>
      <c r="U413">
        <f t="shared" si="2"/>
        <v>0</v>
      </c>
      <c r="V413">
        <f t="shared" si="2"/>
        <v>0</v>
      </c>
      <c r="W413">
        <f t="shared" si="2"/>
        <v>0</v>
      </c>
      <c r="X413">
        <f t="shared" si="2"/>
        <v>0</v>
      </c>
      <c r="Y413">
        <f t="shared" si="2"/>
        <v>1</v>
      </c>
      <c r="Z413">
        <f t="shared" si="2"/>
        <v>0</v>
      </c>
      <c r="AA413">
        <f t="shared" si="2"/>
        <v>1</v>
      </c>
      <c r="AB413">
        <f t="shared" si="2"/>
        <v>0</v>
      </c>
      <c r="AC413">
        <f t="shared" si="2"/>
        <v>0</v>
      </c>
      <c r="AD413">
        <f t="shared" si="2"/>
        <v>0</v>
      </c>
      <c r="AE413">
        <f t="shared" si="2"/>
        <v>0</v>
      </c>
      <c r="AF413">
        <f t="shared" si="2"/>
        <v>0</v>
      </c>
      <c r="AG413">
        <f t="shared" si="2"/>
        <v>0</v>
      </c>
      <c r="AH413">
        <f t="shared" si="2"/>
        <v>0</v>
      </c>
      <c r="AI413">
        <f t="shared" si="2"/>
        <v>2</v>
      </c>
      <c r="AJ413">
        <f t="shared" si="2"/>
        <v>0</v>
      </c>
      <c r="AK413">
        <f t="shared" si="2"/>
        <v>0</v>
      </c>
      <c r="AL413">
        <f t="shared" si="2"/>
        <v>36</v>
      </c>
      <c r="AM413">
        <f t="shared" si="2"/>
        <v>0</v>
      </c>
      <c r="AN413">
        <f t="shared" si="2"/>
        <v>6</v>
      </c>
      <c r="AO413">
        <f t="shared" si="2"/>
        <v>1</v>
      </c>
      <c r="AP413">
        <f t="shared" si="2"/>
        <v>2</v>
      </c>
      <c r="AQ413">
        <f t="shared" si="2"/>
        <v>8</v>
      </c>
      <c r="AR413">
        <f t="shared" si="2"/>
        <v>6</v>
      </c>
      <c r="AS413">
        <f t="shared" si="2"/>
        <v>24</v>
      </c>
      <c r="AT413">
        <f t="shared" si="2"/>
        <v>20</v>
      </c>
      <c r="AU413">
        <f t="shared" si="2"/>
        <v>31</v>
      </c>
      <c r="AV413">
        <f t="shared" si="2"/>
        <v>68</v>
      </c>
      <c r="AW413">
        <f t="shared" si="2"/>
        <v>45</v>
      </c>
      <c r="AX413">
        <f t="shared" si="2"/>
        <v>140</v>
      </c>
      <c r="AY413">
        <f t="shared" si="2"/>
        <v>116</v>
      </c>
      <c r="AZ413">
        <f t="shared" si="2"/>
        <v>65</v>
      </c>
      <c r="BA413">
        <f t="shared" si="2"/>
        <v>1082</v>
      </c>
      <c r="BB413">
        <f t="shared" si="2"/>
        <v>719</v>
      </c>
    </row>
    <row r="414" spans="1:54" x14ac:dyDescent="0.3">
      <c r="A414" t="s">
        <v>467</v>
      </c>
      <c r="K414">
        <f>AVERAGE(G413:K413)</f>
        <v>0.8</v>
      </c>
      <c r="L414">
        <f>AVERAGE(H413:L413)</f>
        <v>0.6</v>
      </c>
      <c r="M414">
        <f t="shared" ref="M414:BB414" si="3">AVERAGE(I413:M413)</f>
        <v>0.6</v>
      </c>
      <c r="N414">
        <f t="shared" si="3"/>
        <v>0.4</v>
      </c>
      <c r="O414">
        <f t="shared" si="3"/>
        <v>0.6</v>
      </c>
      <c r="P414">
        <f t="shared" si="3"/>
        <v>0.6</v>
      </c>
      <c r="Q414">
        <f t="shared" si="3"/>
        <v>1.2</v>
      </c>
      <c r="R414">
        <f t="shared" si="3"/>
        <v>1.2</v>
      </c>
      <c r="S414">
        <f t="shared" si="3"/>
        <v>0.8</v>
      </c>
      <c r="T414">
        <f t="shared" si="3"/>
        <v>0.6</v>
      </c>
      <c r="U414">
        <f t="shared" si="3"/>
        <v>0.6</v>
      </c>
      <c r="V414">
        <f t="shared" si="3"/>
        <v>0</v>
      </c>
      <c r="W414">
        <f t="shared" si="3"/>
        <v>0</v>
      </c>
      <c r="X414">
        <f t="shared" si="3"/>
        <v>0</v>
      </c>
      <c r="Y414">
        <f t="shared" si="3"/>
        <v>0.2</v>
      </c>
      <c r="Z414">
        <f t="shared" si="3"/>
        <v>0.2</v>
      </c>
      <c r="AA414">
        <f t="shared" si="3"/>
        <v>0.4</v>
      </c>
      <c r="AB414">
        <f t="shared" si="3"/>
        <v>0.4</v>
      </c>
      <c r="AC414">
        <f t="shared" si="3"/>
        <v>0.4</v>
      </c>
      <c r="AD414">
        <f t="shared" si="3"/>
        <v>0.2</v>
      </c>
      <c r="AE414">
        <f t="shared" si="3"/>
        <v>0.2</v>
      </c>
      <c r="AF414">
        <f t="shared" si="3"/>
        <v>0</v>
      </c>
      <c r="AG414">
        <f t="shared" si="3"/>
        <v>0</v>
      </c>
      <c r="AH414">
        <f t="shared" si="3"/>
        <v>0</v>
      </c>
      <c r="AI414">
        <f t="shared" si="3"/>
        <v>0.4</v>
      </c>
      <c r="AJ414">
        <f t="shared" si="3"/>
        <v>0.4</v>
      </c>
      <c r="AK414">
        <f t="shared" si="3"/>
        <v>0.4</v>
      </c>
      <c r="AL414">
        <f t="shared" si="3"/>
        <v>7.6</v>
      </c>
      <c r="AM414">
        <f t="shared" si="3"/>
        <v>7.6</v>
      </c>
      <c r="AN414">
        <f t="shared" si="3"/>
        <v>8.4</v>
      </c>
      <c r="AO414">
        <f t="shared" si="3"/>
        <v>8.6</v>
      </c>
      <c r="AP414">
        <f t="shared" si="3"/>
        <v>9</v>
      </c>
      <c r="AQ414">
        <f t="shared" si="3"/>
        <v>3.4</v>
      </c>
      <c r="AR414">
        <f t="shared" si="3"/>
        <v>4.5999999999999996</v>
      </c>
      <c r="AS414">
        <f t="shared" si="3"/>
        <v>8.1999999999999993</v>
      </c>
      <c r="AT414">
        <f t="shared" si="3"/>
        <v>12</v>
      </c>
      <c r="AU414">
        <f t="shared" si="3"/>
        <v>17.8</v>
      </c>
      <c r="AV414">
        <f t="shared" si="3"/>
        <v>29.8</v>
      </c>
      <c r="AW414">
        <f t="shared" si="3"/>
        <v>37.6</v>
      </c>
      <c r="AX414">
        <f t="shared" si="3"/>
        <v>60.8</v>
      </c>
      <c r="AY414">
        <f t="shared" si="3"/>
        <v>80</v>
      </c>
      <c r="AZ414">
        <f t="shared" si="3"/>
        <v>86.8</v>
      </c>
      <c r="BA414">
        <f t="shared" si="3"/>
        <v>289.60000000000002</v>
      </c>
      <c r="BB414">
        <f t="shared" si="3"/>
        <v>424.4</v>
      </c>
    </row>
    <row r="415" spans="1:54" x14ac:dyDescent="0.3">
      <c r="A415" t="s">
        <v>468</v>
      </c>
      <c r="K415">
        <f>AVERAGE(G412:K412)</f>
        <v>0</v>
      </c>
      <c r="L415">
        <f>AVERAGE(H412:L412)</f>
        <v>0</v>
      </c>
      <c r="M415">
        <f t="shared" ref="M415:BB415" si="4">AVERAGE(I412:M412)</f>
        <v>0</v>
      </c>
      <c r="N415">
        <f t="shared" si="4"/>
        <v>0.4</v>
      </c>
      <c r="O415">
        <f t="shared" si="4"/>
        <v>0.4</v>
      </c>
      <c r="P415">
        <f t="shared" si="4"/>
        <v>0.4</v>
      </c>
      <c r="Q415">
        <f t="shared" si="4"/>
        <v>0.4</v>
      </c>
      <c r="R415">
        <f t="shared" si="4"/>
        <v>0.4</v>
      </c>
      <c r="S415">
        <f t="shared" si="4"/>
        <v>0</v>
      </c>
      <c r="T415">
        <f t="shared" si="4"/>
        <v>0</v>
      </c>
      <c r="U415">
        <f t="shared" si="4"/>
        <v>0.2</v>
      </c>
      <c r="V415">
        <f t="shared" si="4"/>
        <v>0.2</v>
      </c>
      <c r="W415">
        <f t="shared" si="4"/>
        <v>0.2</v>
      </c>
      <c r="X415">
        <f t="shared" si="4"/>
        <v>0.2</v>
      </c>
      <c r="Y415">
        <f t="shared" si="4"/>
        <v>0.2</v>
      </c>
      <c r="Z415">
        <f t="shared" si="4"/>
        <v>0</v>
      </c>
      <c r="AA415">
        <f t="shared" si="4"/>
        <v>0</v>
      </c>
      <c r="AB415">
        <f t="shared" si="4"/>
        <v>0</v>
      </c>
      <c r="AC415">
        <f t="shared" si="4"/>
        <v>0</v>
      </c>
      <c r="AD415">
        <f t="shared" si="4"/>
        <v>0</v>
      </c>
      <c r="AE415">
        <f t="shared" si="4"/>
        <v>0</v>
      </c>
      <c r="AF415">
        <f t="shared" si="4"/>
        <v>0</v>
      </c>
      <c r="AG415">
        <f t="shared" si="4"/>
        <v>0</v>
      </c>
      <c r="AH415">
        <f t="shared" si="4"/>
        <v>0</v>
      </c>
      <c r="AI415">
        <f t="shared" si="4"/>
        <v>3.4</v>
      </c>
      <c r="AJ415">
        <f t="shared" si="4"/>
        <v>11.8</v>
      </c>
      <c r="AK415">
        <f t="shared" si="4"/>
        <v>30.4</v>
      </c>
      <c r="AL415">
        <f t="shared" si="4"/>
        <v>45.2</v>
      </c>
      <c r="AM415">
        <f t="shared" si="4"/>
        <v>63.8</v>
      </c>
      <c r="AN415">
        <f t="shared" si="4"/>
        <v>86.6</v>
      </c>
      <c r="AO415">
        <f t="shared" si="4"/>
        <v>118.6</v>
      </c>
      <c r="AP415">
        <f t="shared" si="4"/>
        <v>146.6</v>
      </c>
      <c r="AQ415">
        <f t="shared" si="4"/>
        <v>179.8</v>
      </c>
      <c r="AR415">
        <f t="shared" si="4"/>
        <v>274.39999999999998</v>
      </c>
      <c r="AS415">
        <f t="shared" si="4"/>
        <v>316.60000000000002</v>
      </c>
      <c r="AT415">
        <f t="shared" si="4"/>
        <v>369.4</v>
      </c>
      <c r="AU415">
        <f t="shared" si="4"/>
        <v>440.2</v>
      </c>
      <c r="AV415">
        <f t="shared" si="4"/>
        <v>546</v>
      </c>
      <c r="AW415">
        <f t="shared" si="4"/>
        <v>588.4</v>
      </c>
      <c r="AX415">
        <f t="shared" si="4"/>
        <v>769.4</v>
      </c>
      <c r="AY415">
        <f t="shared" si="4"/>
        <v>974.6</v>
      </c>
      <c r="AZ415">
        <f t="shared" si="4"/>
        <v>1216.5999999999999</v>
      </c>
      <c r="BA415">
        <f t="shared" si="4"/>
        <v>1258.2</v>
      </c>
      <c r="BB415">
        <f t="shared" si="4"/>
        <v>1565.2</v>
      </c>
    </row>
    <row r="416" spans="1:54" x14ac:dyDescent="0.3">
      <c r="A416" t="s">
        <v>469</v>
      </c>
      <c r="I416">
        <f t="shared" ref="I416:AQ416" si="5">R414</f>
        <v>1.2</v>
      </c>
      <c r="J416">
        <f t="shared" si="5"/>
        <v>0.8</v>
      </c>
      <c r="K416">
        <f t="shared" si="5"/>
        <v>0.6</v>
      </c>
      <c r="L416">
        <f t="shared" si="5"/>
        <v>0.6</v>
      </c>
      <c r="M416">
        <f t="shared" si="5"/>
        <v>0</v>
      </c>
      <c r="N416">
        <f t="shared" si="5"/>
        <v>0</v>
      </c>
      <c r="O416">
        <f t="shared" si="5"/>
        <v>0</v>
      </c>
      <c r="P416">
        <f t="shared" si="5"/>
        <v>0.2</v>
      </c>
      <c r="Q416">
        <f t="shared" si="5"/>
        <v>0.2</v>
      </c>
      <c r="R416">
        <f t="shared" si="5"/>
        <v>0.4</v>
      </c>
      <c r="S416">
        <f t="shared" si="5"/>
        <v>0.4</v>
      </c>
      <c r="T416">
        <f t="shared" si="5"/>
        <v>0.4</v>
      </c>
      <c r="U416">
        <f t="shared" si="5"/>
        <v>0.2</v>
      </c>
      <c r="V416">
        <f t="shared" si="5"/>
        <v>0.2</v>
      </c>
      <c r="W416">
        <f t="shared" si="5"/>
        <v>0</v>
      </c>
      <c r="X416">
        <f t="shared" si="5"/>
        <v>0</v>
      </c>
      <c r="Y416">
        <f t="shared" si="5"/>
        <v>0</v>
      </c>
      <c r="Z416">
        <f t="shared" si="5"/>
        <v>0.4</v>
      </c>
      <c r="AA416">
        <f t="shared" si="5"/>
        <v>0.4</v>
      </c>
      <c r="AB416">
        <f t="shared" si="5"/>
        <v>0.4</v>
      </c>
      <c r="AC416">
        <f t="shared" si="5"/>
        <v>7.6</v>
      </c>
      <c r="AD416">
        <f t="shared" si="5"/>
        <v>7.6</v>
      </c>
      <c r="AE416">
        <f t="shared" si="5"/>
        <v>8.4</v>
      </c>
      <c r="AF416">
        <f t="shared" si="5"/>
        <v>8.6</v>
      </c>
      <c r="AG416">
        <f t="shared" si="5"/>
        <v>9</v>
      </c>
      <c r="AH416">
        <f t="shared" si="5"/>
        <v>3.4</v>
      </c>
      <c r="AI416">
        <f t="shared" si="5"/>
        <v>4.5999999999999996</v>
      </c>
      <c r="AJ416">
        <f t="shared" si="5"/>
        <v>8.1999999999999993</v>
      </c>
      <c r="AK416">
        <f t="shared" si="5"/>
        <v>12</v>
      </c>
      <c r="AL416">
        <f t="shared" si="5"/>
        <v>17.8</v>
      </c>
      <c r="AM416">
        <f t="shared" si="5"/>
        <v>29.8</v>
      </c>
      <c r="AN416">
        <f t="shared" si="5"/>
        <v>37.6</v>
      </c>
      <c r="AO416">
        <f t="shared" si="5"/>
        <v>60.8</v>
      </c>
      <c r="AP416">
        <f t="shared" si="5"/>
        <v>80</v>
      </c>
      <c r="AQ416">
        <f t="shared" si="5"/>
        <v>86.8</v>
      </c>
      <c r="AR416">
        <f>BA414</f>
        <v>289.60000000000002</v>
      </c>
      <c r="AS416">
        <f>BB414</f>
        <v>424.4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time_series_19-covid-Confirmed-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Umland</dc:creator>
  <cp:lastModifiedBy>Peter Umland</cp:lastModifiedBy>
  <dcterms:created xsi:type="dcterms:W3CDTF">2020-03-12T19:10:12Z</dcterms:created>
  <dcterms:modified xsi:type="dcterms:W3CDTF">2020-03-24T19:09:01Z</dcterms:modified>
</cp:coreProperties>
</file>