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ython Scripts\Outbreak_Mapping\"/>
    </mc:Choice>
  </mc:AlternateContent>
  <xr:revisionPtr revIDLastSave="0" documentId="13_ncr:1_{C037CEB9-AC9E-44DC-8DAE-554394D8E5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_series_19-covid-Confirmed-" sheetId="1" r:id="rId1"/>
  </sheets>
  <definedNames>
    <definedName name="_xlnm._FilterDatabase" localSheetId="0" hidden="1">'time_series_19-covid-Confirmed-'!$A$1:$BB$406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7" i="1" l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B412" i="1" l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2" i="1"/>
  <c r="F411" i="1"/>
  <c r="U406" i="1"/>
  <c r="V406" i="1"/>
  <c r="W406" i="1"/>
  <c r="X406" i="1"/>
  <c r="Y406" i="1"/>
  <c r="Z406" i="1"/>
  <c r="AA406" i="1"/>
  <c r="AB406" i="1"/>
  <c r="AB413" i="1" s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J406" i="1"/>
  <c r="K406" i="1"/>
  <c r="L406" i="1"/>
  <c r="M406" i="1"/>
  <c r="N406" i="1"/>
  <c r="O406" i="1"/>
  <c r="P406" i="1"/>
  <c r="Q406" i="1"/>
  <c r="R406" i="1"/>
  <c r="S406" i="1"/>
  <c r="T406" i="1"/>
  <c r="J408" i="1"/>
  <c r="K408" i="1"/>
  <c r="L408" i="1"/>
  <c r="M408" i="1"/>
  <c r="N408" i="1"/>
  <c r="O408" i="1"/>
  <c r="P408" i="1"/>
  <c r="Q408" i="1"/>
  <c r="R408" i="1"/>
  <c r="S408" i="1"/>
  <c r="T408" i="1"/>
  <c r="F406" i="1"/>
  <c r="G406" i="1"/>
  <c r="H406" i="1"/>
  <c r="I406" i="1"/>
  <c r="F408" i="1"/>
  <c r="G408" i="1"/>
  <c r="H408" i="1"/>
  <c r="I408" i="1"/>
  <c r="E408" i="1"/>
  <c r="E406" i="1"/>
  <c r="BB413" i="1" l="1"/>
  <c r="AT413" i="1"/>
  <c r="AL413" i="1"/>
  <c r="AD413" i="1"/>
  <c r="U413" i="1"/>
  <c r="X413" i="1"/>
  <c r="V413" i="1"/>
  <c r="G413" i="1"/>
  <c r="Q413" i="1"/>
  <c r="AV413" i="1"/>
  <c r="AN413" i="1"/>
  <c r="AF413" i="1"/>
  <c r="AM413" i="1"/>
  <c r="W413" i="1"/>
  <c r="N415" i="1"/>
  <c r="V415" i="1"/>
  <c r="AD415" i="1"/>
  <c r="AL415" i="1"/>
  <c r="AT415" i="1"/>
  <c r="BB415" i="1"/>
  <c r="N413" i="1"/>
  <c r="L413" i="1"/>
  <c r="H413" i="1"/>
  <c r="R413" i="1"/>
  <c r="J413" i="1"/>
  <c r="AW413" i="1"/>
  <c r="AO413" i="1"/>
  <c r="AG413" i="1"/>
  <c r="Y413" i="1"/>
  <c r="L415" i="1"/>
  <c r="AU413" i="1"/>
  <c r="AE413" i="1"/>
  <c r="O413" i="1"/>
  <c r="M413" i="1"/>
  <c r="AZ413" i="1"/>
  <c r="AJ413" i="1"/>
  <c r="I413" i="1"/>
  <c r="S413" i="1"/>
  <c r="K413" i="1"/>
  <c r="AX413" i="1"/>
  <c r="AP413" i="1"/>
  <c r="AP414" i="1" s="1"/>
  <c r="AG416" i="1" s="1"/>
  <c r="AH413" i="1"/>
  <c r="AJ414" i="1" s="1"/>
  <c r="AA416" i="1" s="1"/>
  <c r="Z413" i="1"/>
  <c r="K415" i="1"/>
  <c r="S415" i="1"/>
  <c r="AA415" i="1"/>
  <c r="AI415" i="1"/>
  <c r="AQ415" i="1"/>
  <c r="AY415" i="1"/>
  <c r="F413" i="1"/>
  <c r="P413" i="1"/>
  <c r="T413" i="1"/>
  <c r="O415" i="1"/>
  <c r="W415" i="1"/>
  <c r="AE415" i="1"/>
  <c r="AM415" i="1"/>
  <c r="AU415" i="1"/>
  <c r="BA415" i="1"/>
  <c r="AS413" i="1"/>
  <c r="Q415" i="1"/>
  <c r="Y415" i="1"/>
  <c r="AG415" i="1"/>
  <c r="AO415" i="1"/>
  <c r="AW415" i="1"/>
  <c r="AY413" i="1"/>
  <c r="AQ413" i="1"/>
  <c r="AI413" i="1"/>
  <c r="AA413" i="1"/>
  <c r="R415" i="1"/>
  <c r="Z415" i="1"/>
  <c r="AH415" i="1"/>
  <c r="AP415" i="1"/>
  <c r="AX415" i="1"/>
  <c r="AZ414" i="1"/>
  <c r="AQ416" i="1" s="1"/>
  <c r="AR413" i="1"/>
  <c r="T415" i="1"/>
  <c r="AJ415" i="1"/>
  <c r="AZ415" i="1"/>
  <c r="AC413" i="1"/>
  <c r="AK413" i="1"/>
  <c r="BA413" i="1"/>
  <c r="M415" i="1"/>
  <c r="U415" i="1"/>
  <c r="AC415" i="1"/>
  <c r="AK415" i="1"/>
  <c r="AS415" i="1"/>
  <c r="AB415" i="1"/>
  <c r="AR415" i="1"/>
  <c r="P415" i="1"/>
  <c r="X415" i="1"/>
  <c r="AF415" i="1"/>
  <c r="AN415" i="1"/>
  <c r="AV415" i="1"/>
  <c r="W414" i="1" l="1"/>
  <c r="N416" i="1" s="1"/>
  <c r="AB414" i="1"/>
  <c r="S416" i="1" s="1"/>
  <c r="AQ414" i="1"/>
  <c r="AH416" i="1" s="1"/>
  <c r="Q414" i="1"/>
  <c r="O414" i="1"/>
  <c r="AH414" i="1"/>
  <c r="Y416" i="1" s="1"/>
  <c r="R414" i="1"/>
  <c r="I416" i="1" s="1"/>
  <c r="AG414" i="1"/>
  <c r="X416" i="1" s="1"/>
  <c r="AL414" i="1"/>
  <c r="AC416" i="1" s="1"/>
  <c r="AX414" i="1"/>
  <c r="AO416" i="1" s="1"/>
  <c r="P414" i="1"/>
  <c r="AA414" i="1"/>
  <c r="R416" i="1" s="1"/>
  <c r="Y414" i="1"/>
  <c r="P416" i="1" s="1"/>
  <c r="X414" i="1"/>
  <c r="O416" i="1" s="1"/>
  <c r="AT414" i="1"/>
  <c r="AK416" i="1" s="1"/>
  <c r="AF414" i="1"/>
  <c r="W416" i="1" s="1"/>
  <c r="AW414" i="1"/>
  <c r="AN416" i="1" s="1"/>
  <c r="AY414" i="1"/>
  <c r="AP416" i="1" s="1"/>
  <c r="BB414" i="1"/>
  <c r="AS416" i="1" s="1"/>
  <c r="AE414" i="1"/>
  <c r="V416" i="1" s="1"/>
  <c r="Z414" i="1"/>
  <c r="Q416" i="1" s="1"/>
  <c r="K414" i="1"/>
  <c r="AO414" i="1"/>
  <c r="AF416" i="1" s="1"/>
  <c r="AI414" i="1"/>
  <c r="Z416" i="1" s="1"/>
  <c r="L414" i="1"/>
  <c r="V414" i="1"/>
  <c r="M416" i="1" s="1"/>
  <c r="AK414" i="1"/>
  <c r="AB416" i="1" s="1"/>
  <c r="U414" i="1"/>
  <c r="L416" i="1" s="1"/>
  <c r="N414" i="1"/>
  <c r="AC414" i="1"/>
  <c r="T416" i="1" s="1"/>
  <c r="T414" i="1"/>
  <c r="K416" i="1" s="1"/>
  <c r="M414" i="1"/>
  <c r="AV414" i="1"/>
  <c r="AM416" i="1" s="1"/>
  <c r="S414" i="1"/>
  <c r="J416" i="1" s="1"/>
  <c r="AS414" i="1"/>
  <c r="AJ416" i="1" s="1"/>
  <c r="AR414" i="1"/>
  <c r="AI416" i="1" s="1"/>
  <c r="AM414" i="1"/>
  <c r="AD416" i="1" s="1"/>
  <c r="AU414" i="1"/>
  <c r="AL416" i="1" s="1"/>
  <c r="AN414" i="1"/>
  <c r="AE416" i="1" s="1"/>
  <c r="BA414" i="1"/>
  <c r="AR416" i="1" s="1"/>
  <c r="AD414" i="1"/>
  <c r="U416" i="1" s="1"/>
</calcChain>
</file>

<file path=xl/sharedStrings.xml><?xml version="1.0" encoding="utf-8"?>
<sst xmlns="http://schemas.openxmlformats.org/spreadsheetml/2006/main" count="764" uniqueCount="470">
  <si>
    <t>Province/State</t>
  </si>
  <si>
    <t>Country/Region</t>
  </si>
  <si>
    <t>Lat</t>
  </si>
  <si>
    <t>Long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</si>
  <si>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</si>
  <si>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</si>
  <si>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</si>
  <si>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</si>
  <si>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</si>
  <si>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</si>
  <si>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</si>
  <si>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</si>
  <si>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</si>
  <si>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</si>
  <si>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</si>
  <si>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</si>
  <si>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</si>
  <si>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</si>
  <si>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</si>
  <si>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</si>
  <si>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</si>
  <si>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</si>
  <si>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</si>
  <si>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</si>
  <si>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</si>
  <si>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</si>
  <si>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</si>
  <si>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</si>
  <si>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</si>
  <si>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</si>
  <si>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</si>
  <si>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</si>
  <si>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</si>
  <si>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</si>
  <si>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</si>
  <si>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</si>
  <si>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</si>
  <si>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</si>
  <si>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</si>
  <si>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</si>
  <si>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</si>
  <si>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</si>
  <si>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</si>
  <si>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</si>
  <si>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</si>
  <si>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</si>
  <si>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</si>
  <si>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</si>
  <si>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</si>
  <si>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</si>
  <si>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</si>
  <si>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</si>
  <si>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</si>
  <si>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</si>
  <si>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</si>
  <si>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</si>
  <si>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</si>
  <si>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</si>
  <si>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</si>
  <si>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</si>
  <si>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</si>
  <si>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</si>
  <si>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</si>
  <si>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</si>
  <si>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</si>
  <si>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</si>
  <si>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</si>
  <si>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</si>
  <si>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</si>
  <si>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</si>
  <si>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</si>
  <si>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</si>
  <si>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</si>
  <si>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</si>
  <si>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</si>
  <si>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</si>
  <si>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</si>
  <si>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</si>
  <si>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</si>
  <si>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</si>
  <si>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</si>
  <si>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</si>
  <si>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</si>
  <si>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</si>
  <si>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</si>
  <si>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</si>
  <si>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</si>
  <si>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</si>
  <si>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</si>
  <si>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</si>
  <si>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</si>
  <si>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</si>
  <si>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</si>
  <si>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French Guiana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</si>
  <si>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</si>
  <si>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</si>
  <si>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</si>
  <si>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</si>
  <si>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</si>
  <si>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</si>
  <si>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</si>
  <si>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</si>
  <si>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</si>
  <si>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</si>
  <si>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</si>
  <si>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</si>
  <si>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</si>
  <si>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</si>
  <si>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</si>
  <si>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</si>
  <si>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</si>
  <si>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</si>
  <si>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</si>
  <si>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</si>
  <si>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</si>
  <si>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</si>
  <si>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</si>
  <si>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</si>
  <si>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</si>
  <si>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</si>
  <si>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</si>
  <si>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</si>
  <si>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</si>
  <si>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</si>
  <si>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</si>
  <si>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</si>
  <si>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</si>
  <si>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</si>
  <si>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</si>
  <si>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</si>
  <si>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</si>
  <si>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</si>
  <si>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</si>
  <si>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</si>
  <si>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</si>
  <si>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</si>
  <si>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</si>
  <si>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</si>
  <si>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</si>
  <si>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</si>
  <si>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</si>
  <si>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</si>
  <si>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</si>
  <si>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</si>
  <si>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</si>
  <si>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</si>
  <si>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</si>
  <si>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</si>
  <si>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</si>
  <si>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</si>
  <si>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</si>
  <si>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</si>
  <si>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</si>
  <si>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</si>
  <si>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</si>
  <si>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</si>
  <si>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</si>
  <si>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</si>
  <si>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</si>
  <si>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</si>
  <si>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</si>
  <si>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</si>
  <si>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</si>
  <si>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</si>
  <si>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</si>
  <si>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</si>
  <si>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</si>
  <si>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</si>
  <si>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</si>
  <si>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</si>
  <si>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</si>
  <si>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</si>
  <si>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</si>
  <si>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</si>
  <si>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</si>
  <si>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</si>
  <si>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</si>
  <si>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</si>
  <si>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</si>
  <si>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UK</t>
  </si>
  <si>
    <t>United Kingdom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</si>
  <si>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</si>
  <si>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</si>
  <si>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</si>
  <si>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</si>
  <si>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</si>
  <si>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</si>
  <si>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</si>
  <si>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</si>
  <si>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</si>
  <si>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</si>
  <si>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</si>
  <si>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</si>
  <si>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</si>
  <si>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</si>
  <si>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</si>
  <si>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</si>
  <si>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</si>
  <si>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</si>
  <si>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</si>
  <si>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</si>
  <si>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</si>
  <si>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</si>
  <si>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</si>
  <si>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</si>
  <si>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</si>
  <si>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</si>
  <si>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</si>
  <si>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</si>
  <si>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</si>
  <si>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</si>
  <si>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</si>
  <si>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</si>
  <si>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</si>
  <si>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</si>
  <si>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</si>
  <si>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</si>
  <si>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</si>
  <si>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</si>
  <si>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</si>
  <si>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</si>
  <si>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</si>
  <si>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</si>
  <si>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</si>
  <si>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</si>
  <si>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</si>
  <si>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</si>
  <si>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</si>
  <si>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</si>
  <si>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</si>
  <si>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</si>
  <si>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</si>
  <si>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</si>
  <si>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</si>
  <si>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</si>
  <si>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</si>
  <si>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</si>
  <si>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</si>
  <si>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</si>
  <si>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</si>
  <si>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</si>
  <si>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</si>
  <si>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</si>
  <si>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</si>
  <si>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</si>
  <si>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</si>
  <si>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</si>
  <si>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</si>
  <si>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</si>
  <si>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</si>
  <si>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</si>
  <si>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</si>
  <si>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</si>
  <si>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</si>
  <si>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</si>
  <si>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</si>
  <si>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</si>
  <si>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</si>
  <si>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</si>
  <si>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</si>
  <si>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</si>
  <si>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</si>
  <si>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</si>
  <si>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</si>
  <si>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</si>
  <si>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</si>
  <si>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</si>
  <si>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</si>
  <si>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</si>
  <si>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</si>
  <si>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</si>
  <si>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</si>
  <si>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</si>
  <si>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</si>
  <si>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</si>
  <si>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</si>
  <si>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</si>
  <si>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</si>
  <si>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</si>
  <si>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</si>
  <si>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</si>
  <si>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</si>
  <si>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</si>
  <si>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</si>
  <si>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</si>
  <si>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</si>
  <si>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</si>
  <si>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</si>
  <si>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</si>
  <si>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</si>
  <si>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</si>
  <si>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</si>
  <si>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</si>
  <si>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</si>
  <si>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</si>
  <si>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</si>
  <si>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</si>
  <si>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</si>
  <si>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</si>
  <si>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</si>
  <si>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</si>
  <si>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</si>
  <si>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</si>
  <si>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</si>
  <si>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</si>
  <si>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</si>
  <si>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</si>
  <si>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</si>
  <si>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</si>
  <si>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</si>
  <si>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</si>
  <si>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</si>
  <si>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</si>
  <si>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</si>
  <si>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</si>
  <si>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</si>
  <si>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</si>
  <si>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</si>
  <si>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</si>
  <si>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</si>
  <si>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</si>
  <si>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</si>
  <si>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</si>
  <si>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</si>
  <si>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</si>
  <si>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</si>
  <si>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</si>
  <si>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</si>
  <si>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</si>
  <si>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</si>
  <si>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</si>
  <si>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</si>
  <si>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</si>
  <si>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</si>
  <si>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</si>
  <si>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</si>
  <si>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</si>
  <si>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</si>
  <si>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</si>
  <si>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</si>
  <si>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</si>
  <si>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</si>
  <si>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</si>
  <si>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</si>
  <si>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</si>
  <si>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</si>
  <si>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</si>
  <si>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</si>
  <si>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</si>
  <si>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</si>
  <si>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</si>
  <si>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</si>
  <si>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</si>
  <si>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</si>
  <si>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</si>
  <si>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</si>
  <si>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</si>
  <si>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</si>
  <si>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</si>
  <si>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</si>
  <si>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</si>
  <si>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</si>
  <si>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</si>
  <si>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</si>
  <si>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</si>
  <si>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</si>
  <si>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</si>
  <si>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</si>
  <si>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</si>
  <si>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</si>
  <si>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</si>
  <si>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</si>
  <si>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</si>
  <si>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</si>
  <si>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</si>
  <si>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</si>
  <si>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</si>
  <si>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</si>
  <si>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</si>
  <si>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</si>
  <si>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</si>
  <si>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</si>
  <si>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</si>
  <si>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</si>
  <si>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</si>
  <si>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</si>
  <si>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</si>
  <si>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</si>
  <si>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</si>
  <si>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</si>
  <si>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</si>
  <si>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</si>
  <si>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</si>
  <si>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</si>
  <si>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</si>
  <si>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</si>
  <si>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</si>
  <si>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</si>
  <si>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</si>
  <si>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</si>
  <si>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</si>
  <si>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</si>
  <si>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</si>
  <si>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</si>
  <si>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</si>
  <si>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</si>
  <si>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</si>
  <si>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</si>
  <si>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</si>
  <si>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</si>
  <si>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</si>
  <si>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</si>
  <si>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US - All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</si>
  <si>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</si>
  <si>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</si>
  <si>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</si>
  <si>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</si>
  <si>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</si>
  <si>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</si>
  <si>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</si>
  <si>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</si>
  <si>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</si>
  <si>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</si>
  <si>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</si>
  <si>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</si>
  <si>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</si>
  <si>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</si>
  <si>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</si>
  <si>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</si>
  <si>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</si>
  <si>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</si>
  <si>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</si>
  <si>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</si>
  <si>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</si>
  <si>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</si>
  <si>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</si>
  <si>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</si>
  <si>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</si>
  <si>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</si>
  <si>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</si>
  <si>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</si>
  <si>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</si>
  <si>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</si>
  <si>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</si>
  <si>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</si>
  <si>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</si>
  <si>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</si>
  <si>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</si>
  <si>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</si>
  <si>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</si>
  <si>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</si>
  <si>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</si>
  <si>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</si>
  <si>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</si>
  <si>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</si>
  <si>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</si>
  <si>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</si>
  <si>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</si>
  <si>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</si>
  <si>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</si>
  <si>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</si>
  <si>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</si>
  <si>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</si>
  <si>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China - All</t>
  </si>
  <si>
    <t>Germany (incr)</t>
  </si>
  <si>
    <t>Italy (incr)</t>
  </si>
  <si>
    <t>US (incr)</t>
  </si>
  <si>
    <t>US (5-day moving incr avg)</t>
  </si>
  <si>
    <t>Italy (5-day moving incr avg)</t>
  </si>
  <si>
    <t>US (5-day moving incr avg, lag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</si>
</sst>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'time_series_19-covid-Confirmed-'!$AJ$415:$BB$415</c:f>
              <c:numCache>
                <c:formatCode>General</c:formatCode>
                <c:ptCount val="19"/>
                <c:pt idx="0">
                  <c:v>11.8</c:v>
                </c:pt>
                <c:pt idx="1">
                  <c:v>30.4</c:v>
                </c:pt>
                <c:pt idx="2">
                  <c:v>45.2</c:v>
                </c:pt>
                <c:pt idx="3">
                  <c:v>63.8</c:v>
                </c:pt>
                <c:pt idx="4">
                  <c:v>86.6</c:v>
                </c:pt>
                <c:pt idx="5">
                  <c:v>118.6</c:v>
                </c:pt>
                <c:pt idx="6">
                  <c:v>146.6</c:v>
                </c:pt>
                <c:pt idx="7">
                  <c:v>179.8</c:v>
                </c:pt>
                <c:pt idx="8">
                  <c:v>274.39999999999998</c:v>
                </c:pt>
                <c:pt idx="9">
                  <c:v>316.60000000000002</c:v>
                </c:pt>
                <c:pt idx="10">
                  <c:v>369.4</c:v>
                </c:pt>
                <c:pt idx="11">
                  <c:v>440.2</c:v>
                </c:pt>
                <c:pt idx="12">
                  <c:v>546</c:v>
                </c:pt>
                <c:pt idx="13">
                  <c:v>588.4</c:v>
                </c:pt>
                <c:pt idx="14">
                  <c:v>769.4</c:v>
                </c:pt>
                <c:pt idx="15">
                  <c:v>974.6</c:v>
                </c:pt>
                <c:pt idx="16">
                  <c:v>1216.5999999999999</c:v>
                </c:pt>
                <c:pt idx="17">
                  <c:v>1258.2</c:v>
                </c:pt>
                <c:pt idx="18">
                  <c:v>1565.2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7-447A-85C3-0D3AFE6EB3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'time_series_19-covid-Confirmed-'!$AJ$416:$BB$416</c:f>
              <c:numCache>
                <c:formatCode>General</c:formatCode>
                <c:ptCount val="19"/>
                <c:pt idx="0">
                  <c:v>8.1999999999999993</c:v>
                </c:pt>
                <c:pt idx="1">
                  <c:v>12</c:v>
                </c:pt>
                <c:pt idx="2">
                  <c:v>17.8</c:v>
                </c:pt>
                <c:pt idx="3">
                  <c:v>29.8</c:v>
                </c:pt>
                <c:pt idx="4">
                  <c:v>37.6</c:v>
                </c:pt>
                <c:pt idx="5">
                  <c:v>60.8</c:v>
                </c:pt>
                <c:pt idx="6">
                  <c:v>80</c:v>
                </c:pt>
                <c:pt idx="7">
                  <c:v>86.8</c:v>
                </c:pt>
                <c:pt idx="8">
                  <c:v>289.60000000000002</c:v>
                </c:pt>
                <c:pt idx="9">
                  <c:v>424.4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7-447A-85C3-0D3AFE6EB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20688"/>
        <c:axId val="627618768"/>
      </c:lineChart>
      <c:catAx>
        <c:axId val="62762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8768"/>
        <c:crosses val="autoZero"/>
        <c:auto val="1"/>
        <c:lblAlgn val="ctr"/>
        <c:lblOffset val="100"/>
        <c:noMultiLvlLbl val="0"/>
      </c:catAx>
      <c:valAx>
        <c:axId val="6276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Italy</a:t>
            </a:r>
            <a:r>
              <a:rPr lang="en-US" baseline="0"/>
              <a:t> Cases since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Italy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'time_series_19-covid-Confirmed-'!$AK$18:$BB$18</c:f>
              <c:numCache>
                <c:formatCode>General</c:formatCode>
                <c:ptCount val="18"/>
                <c:pt idx="0">
                  <c:v>155</c:v>
                </c:pt>
                <c:pt idx="1">
                  <c:v>229</c:v>
                </c:pt>
                <c:pt idx="2">
                  <c:v>322</c:v>
                </c:pt>
                <c:pt idx="3">
                  <c:v>453</c:v>
                </c:pt>
                <c:pt idx="4">
                  <c:v>655</c:v>
                </c:pt>
                <c:pt idx="5">
                  <c:v>888</c:v>
                </c:pt>
                <c:pt idx="6">
                  <c:v>1128</c:v>
                </c:pt>
                <c:pt idx="7">
                  <c:v>1694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7-49D9-AEE0-F216E29C7DB5}"/>
            </c:ext>
          </c:extLst>
        </c:ser>
        <c:ser>
          <c:idx val="1"/>
          <c:order val="1"/>
          <c:tx>
            <c:v>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'time_series_19-covid-Confirmed-'!$AU$407:$BB$407</c:f>
              <c:numCache>
                <c:formatCode>General</c:formatCode>
                <c:ptCount val="8"/>
                <c:pt idx="0">
                  <c:v>104</c:v>
                </c:pt>
                <c:pt idx="1">
                  <c:v>172</c:v>
                </c:pt>
                <c:pt idx="2">
                  <c:v>217</c:v>
                </c:pt>
                <c:pt idx="3">
                  <c:v>336</c:v>
                </c:pt>
                <c:pt idx="4">
                  <c:v>452</c:v>
                </c:pt>
                <c:pt idx="5">
                  <c:v>517</c:v>
                </c:pt>
                <c:pt idx="6">
                  <c:v>706</c:v>
                </c:pt>
                <c:pt idx="7">
                  <c:v>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F7-49D9-AEE0-F216E29C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16984"/>
        <c:axId val="629125304"/>
      </c:lineChart>
      <c:catAx>
        <c:axId val="629116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25304"/>
        <c:crosses val="autoZero"/>
        <c:auto val="1"/>
        <c:lblAlgn val="ctr"/>
        <c:lblOffset val="100"/>
        <c:noMultiLvlLbl val="0"/>
      </c:catAx>
      <c:valAx>
        <c:axId val="62912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15240</xdr:colOff>
      <xdr:row>417</xdr:row>
      <xdr:rowOff>53340</xdr:rowOff>
    </xdr:from>
    <xdr:to>
      <xdr:col>47</xdr:col>
      <xdr:colOff>60960</xdr:colOff>
      <xdr:row>432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EA03A-F20C-4BDF-9341-7E2B874E7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723900</xdr:colOff>
      <xdr:row>417</xdr:row>
      <xdr:rowOff>7620</xdr:rowOff>
    </xdr:from>
    <xdr:to>
      <xdr:col>54</xdr:col>
      <xdr:colOff>38100</xdr:colOff>
      <xdr:row>432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AA8EA-04E4-45EA-AC31-D90AD6EB2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B405" totalsRowShown="0" headerRowDxfId="0">
  <autoFilter ref="A1:BB405" xr:uid="{00000000-0009-0000-0100-000001000000}">
    <filterColumn colId="0">
      <filters blank="1">
        <filter val="Arlington, VA"/>
        <filter val="California"/>
        <filter val="Fairfax County, VA"/>
        <filter val="Hanover, VA"/>
        <filter val="Loudoun, VA"/>
        <filter val="Norfolk, VA"/>
        <filter val="Spotsylvania, VA"/>
        <filter val="Virginia"/>
      </filters>
    </filterColumn>
    <filterColumn colId="1">
      <filters>
        <filter val="Germany"/>
        <filter val="Italy"/>
        <filter val="US"/>
      </filters>
    </filterColumn>
  </autoFilter>
  <tableColumns count="54">
    <tableColumn id="1" xr3:uid="{00000000-0010-0000-0000-000001000000}" name="Province/State"/>
    <tableColumn id="2" xr3:uid="{00000000-0010-0000-0000-000002000000}" name="Country/Region"/>
    <tableColumn id="3" xr3:uid="{00000000-0010-0000-0000-000003000000}" name="Lat"/>
    <tableColumn id="4" xr3:uid="{00000000-0010-0000-0000-000004000000}" name="Long"/>
    <tableColumn id="5" xr3:uid="{00000000-0010-0000-0000-000005000000}" name="1/22/2020"/>
    <tableColumn id="6" xr3:uid="{00000000-0010-0000-0000-000006000000}" name="1/23/2020"/>
    <tableColumn id="7" xr3:uid="{00000000-0010-0000-0000-000007000000}" name="1/24/2020"/>
    <tableColumn id="8" xr3:uid="{00000000-0010-0000-0000-000008000000}" name="1/25/2020"/>
    <tableColumn id="9" xr3:uid="{00000000-0010-0000-0000-000009000000}" name="1/26/2020"/>
    <tableColumn id="10" xr3:uid="{00000000-0010-0000-0000-00000A000000}" name="1/27/2020"/>
    <tableColumn id="11" xr3:uid="{00000000-0010-0000-0000-00000B000000}" name="1/28/2020"/>
    <tableColumn id="12" xr3:uid="{00000000-0010-0000-0000-00000C000000}" name="1/29/2020"/>
    <tableColumn id="13" xr3:uid="{00000000-0010-0000-0000-00000D000000}" name="1/30/2020"/>
    <tableColumn id="14" xr3:uid="{00000000-0010-0000-0000-00000E000000}" name="1/31/2020"/>
    <tableColumn id="15" xr3:uid="{00000000-0010-0000-0000-00000F000000}" name="2/1/2020"/>
    <tableColumn id="16" xr3:uid="{00000000-0010-0000-0000-000010000000}" name="2/2/2020"/>
    <tableColumn id="17" xr3:uid="{00000000-0010-0000-0000-000011000000}" name="2/3/2020"/>
    <tableColumn id="18" xr3:uid="{00000000-0010-0000-0000-000012000000}" name="2/4/2020"/>
    <tableColumn id="19" xr3:uid="{00000000-0010-0000-0000-000013000000}" name="2/5/2020"/>
    <tableColumn id="20" xr3:uid="{00000000-0010-0000-0000-000014000000}" name="2/6/2020"/>
    <tableColumn id="21" xr3:uid="{00000000-0010-0000-0000-000015000000}" name="2/7/2020"/>
    <tableColumn id="22" xr3:uid="{00000000-0010-0000-0000-000016000000}" name="2/8/2020"/>
    <tableColumn id="23" xr3:uid="{00000000-0010-0000-0000-000017000000}" name="2/9/2020"/>
    <tableColumn id="24" xr3:uid="{00000000-0010-0000-0000-000018000000}" name="2/10/2020"/>
    <tableColumn id="25" xr3:uid="{00000000-0010-0000-0000-000019000000}" name="2/11/2020"/>
    <tableColumn id="26" xr3:uid="{00000000-0010-0000-0000-00001A000000}" name="2/12/2020"/>
    <tableColumn id="27" xr3:uid="{00000000-0010-0000-0000-00001B000000}" name="2/13/2020"/>
    <tableColumn id="28" xr3:uid="{00000000-0010-0000-0000-00001C000000}" name="2/14/2020"/>
    <tableColumn id="29" xr3:uid="{00000000-0010-0000-0000-00001D000000}" name="2/15/2020"/>
    <tableColumn id="30" xr3:uid="{00000000-0010-0000-0000-00001E000000}" name="2/16/2020"/>
    <tableColumn id="31" xr3:uid="{00000000-0010-0000-0000-00001F000000}" name="2/17/2020"/>
    <tableColumn id="32" xr3:uid="{00000000-0010-0000-0000-000020000000}" name="2/18/2020"/>
    <tableColumn id="33" xr3:uid="{00000000-0010-0000-0000-000021000000}" name="2/19/2020"/>
    <tableColumn id="34" xr3:uid="{00000000-0010-0000-0000-000022000000}" name="2/20/2020"/>
    <tableColumn id="35" xr3:uid="{00000000-0010-0000-0000-000023000000}" name="2/21/2020"/>
    <tableColumn id="36" xr3:uid="{00000000-0010-0000-0000-000024000000}" name="2/22/2020"/>
    <tableColumn id="37" xr3:uid="{00000000-0010-0000-0000-000025000000}" name="2/23/2020"/>
    <tableColumn id="38" xr3:uid="{00000000-0010-0000-0000-000026000000}" name="2/24/2020"/>
    <tableColumn id="39" xr3:uid="{00000000-0010-0000-0000-000027000000}" name="2/25/2020"/>
    <tableColumn id="40" xr3:uid="{00000000-0010-0000-0000-000028000000}" name="2/26/2020"/>
    <tableColumn id="41" xr3:uid="{00000000-0010-0000-0000-000029000000}" name="2/27/2020"/>
    <tableColumn id="42" xr3:uid="{00000000-0010-0000-0000-00002A000000}" name="2/28/2020"/>
    <tableColumn id="43" xr3:uid="{00000000-0010-0000-0000-00002B000000}" name="2/29/2020"/>
    <tableColumn id="44" xr3:uid="{00000000-0010-0000-0000-00002C000000}" name="3/1/2020"/>
    <tableColumn id="45" xr3:uid="{00000000-0010-0000-0000-00002D000000}" name="3/2/2020"/>
    <tableColumn id="46" xr3:uid="{00000000-0010-0000-0000-00002E000000}" name="3/3/2020"/>
    <tableColumn id="47" xr3:uid="{00000000-0010-0000-0000-00002F000000}" name="3/4/2020"/>
    <tableColumn id="48" xr3:uid="{00000000-0010-0000-0000-000030000000}" name="3/5/2020"/>
    <tableColumn id="49" xr3:uid="{00000000-0010-0000-0000-000031000000}" name="3/6/2020"/>
    <tableColumn id="50" xr3:uid="{00000000-0010-0000-0000-000032000000}" name="3/7/2020"/>
    <tableColumn id="51" xr3:uid="{00000000-0010-0000-0000-000033000000}" name="3/8/2020"/>
    <tableColumn id="52" xr3:uid="{00000000-0010-0000-0000-000034000000}" name="3/9/2020"/>
    <tableColumn id="53" xr3:uid="{00000000-0010-0000-0000-000035000000}" name="3/10/2020"/>
    <tableColumn id="54" xr3:uid="{00000000-0010-0000-0000-000036000000}" name="3/11/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16"/>
  <sheetViews>
    <sheetView tabSelected="1" topLeftCell="AM406" workbookViewId="0">
      <selection activeCell="AV422" sqref="AV422"/>
    </sheetView>
  </sheetViews>
  <sheetFormatPr defaultRowHeight="14.4" x14ac:dyDescent="0.3"/>
  <cols>
    <col min="1" max="1" width="15.44140625" customWidth="1"/>
    <col min="2" max="2" width="16.33203125" customWidth="1"/>
    <col min="3" max="4" width="0" hidden="1" customWidth="1"/>
    <col min="5" max="14" width="11.6640625" customWidth="1"/>
    <col min="15" max="23" width="10.6640625" customWidth="1"/>
    <col min="24" max="43" width="11.6640625" customWidth="1"/>
    <col min="44" max="52" width="10.6640625" customWidth="1"/>
    <col min="53" max="54" width="11.6640625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1" t="s">
        <v>429</v>
      </c>
      <c r="V1" s="1" t="s">
        <v>430</v>
      </c>
      <c r="W1" s="1" t="s">
        <v>431</v>
      </c>
      <c r="X1" s="1" t="s">
        <v>432</v>
      </c>
      <c r="Y1" s="1" t="s">
        <v>433</v>
      </c>
      <c r="Z1" s="1" t="s">
        <v>434</v>
      </c>
      <c r="AA1" s="1" t="s">
        <v>435</v>
      </c>
      <c r="AB1" s="1" t="s">
        <v>436</v>
      </c>
      <c r="AC1" s="1" t="s">
        <v>437</v>
      </c>
      <c r="AD1" s="1" t="s">
        <v>438</v>
      </c>
      <c r="AE1" s="1" t="s">
        <v>439</v>
      </c>
      <c r="AF1" s="1" t="s">
        <v>440</v>
      </c>
      <c r="AG1" s="1" t="s">
        <v>441</v>
      </c>
      <c r="AH1" s="1" t="s">
        <v>442</v>
      </c>
      <c r="AI1" s="1" t="s">
        <v>443</v>
      </c>
      <c r="AJ1" s="1" t="s">
        <v>444</v>
      </c>
      <c r="AK1" s="1" t="s">
        <v>445</v>
      </c>
      <c r="AL1" s="1" t="s">
        <v>446</v>
      </c>
      <c r="AM1" s="1" t="s">
        <v>447</v>
      </c>
      <c r="AN1" s="1" t="s">
        <v>448</v>
      </c>
      <c r="AO1" s="1" t="s">
        <v>449</v>
      </c>
      <c r="AP1" s="1" t="s">
        <v>450</v>
      </c>
      <c r="AQ1" s="1" t="s">
        <v>451</v>
      </c>
      <c r="AR1" s="1" t="s">
        <v>452</v>
      </c>
      <c r="AS1" s="1" t="s">
        <v>453</v>
      </c>
      <c r="AT1" s="1" t="s">
        <v>454</v>
      </c>
      <c r="AU1" s="1" t="s">
        <v>455</v>
      </c>
      <c r="AV1" s="1" t="s">
        <v>456</v>
      </c>
      <c r="AW1" s="1" t="s">
        <v>457</v>
      </c>
      <c r="AX1" s="1" t="s">
        <v>458</v>
      </c>
      <c r="AY1" s="1" t="s">
        <v>459</v>
      </c>
      <c r="AZ1" s="1" t="s">
        <v>460</v>
      </c>
      <c r="BA1" s="1" t="s">
        <v>461</v>
      </c>
      <c r="BB1" s="1" t="s">
        <v>462</v>
      </c>
    </row>
    <row r="2" spans="1:54" hidden="1" x14ac:dyDescent="0.3">
      <c r="B2" t="s">
        <v>4</v>
      </c>
      <c r="C2">
        <v>15</v>
      </c>
      <c r="D2">
        <v>101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</row>
    <row r="3" spans="1:54" hidden="1" x14ac:dyDescent="0.3">
      <c r="B3" t="s">
        <v>5</v>
      </c>
      <c r="C3">
        <v>36</v>
      </c>
      <c r="D3">
        <v>138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</row>
    <row r="4" spans="1:54" hidden="1" x14ac:dyDescent="0.3">
      <c r="B4" t="s">
        <v>6</v>
      </c>
      <c r="C4">
        <v>1.2833000000000001</v>
      </c>
      <c r="D4">
        <v>103.83329999999999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</row>
    <row r="5" spans="1:54" hidden="1" x14ac:dyDescent="0.3">
      <c r="B5" t="s">
        <v>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</row>
    <row r="6" spans="1:54" hidden="1" x14ac:dyDescent="0.3">
      <c r="B6" t="s">
        <v>8</v>
      </c>
      <c r="C6">
        <v>2.5</v>
      </c>
      <c r="D6">
        <v>112.5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</row>
    <row r="7" spans="1:54" hidden="1" x14ac:dyDescent="0.3">
      <c r="A7" t="s">
        <v>9</v>
      </c>
      <c r="B7" t="s">
        <v>10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</row>
    <row r="8" spans="1:54" hidden="1" x14ac:dyDescent="0.3">
      <c r="A8" t="s">
        <v>11</v>
      </c>
      <c r="B8" t="s">
        <v>12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</row>
    <row r="9" spans="1:54" hidden="1" x14ac:dyDescent="0.3">
      <c r="A9" t="s">
        <v>13</v>
      </c>
      <c r="B9" t="s">
        <v>12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</row>
    <row r="10" spans="1:54" hidden="1" x14ac:dyDescent="0.3">
      <c r="A10" t="s">
        <v>14</v>
      </c>
      <c r="B10" t="s">
        <v>12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</row>
    <row r="11" spans="1:54" hidden="1" x14ac:dyDescent="0.3">
      <c r="B11" t="s">
        <v>15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</row>
    <row r="12" spans="1:54" hidden="1" x14ac:dyDescent="0.3">
      <c r="B12" t="s">
        <v>16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</row>
    <row r="13" spans="1:54" x14ac:dyDescent="0.3">
      <c r="B13" t="s">
        <v>17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</row>
    <row r="14" spans="1:54" hidden="1" x14ac:dyDescent="0.3">
      <c r="B14" t="s">
        <v>18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</row>
    <row r="15" spans="1:54" hidden="1" x14ac:dyDescent="0.3">
      <c r="B15" t="s">
        <v>19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</row>
    <row r="16" spans="1:54" hidden="1" x14ac:dyDescent="0.3">
      <c r="B16" t="s">
        <v>20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</row>
    <row r="17" spans="1:54" hidden="1" x14ac:dyDescent="0.3">
      <c r="B17" t="s">
        <v>21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</row>
    <row r="18" spans="1:54" x14ac:dyDescent="0.3">
      <c r="B18" t="s">
        <v>22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20</v>
      </c>
      <c r="AJ18">
        <v>62</v>
      </c>
      <c r="AK18">
        <v>155</v>
      </c>
      <c r="AL18">
        <v>229</v>
      </c>
      <c r="AM18">
        <v>322</v>
      </c>
      <c r="AN18">
        <v>453</v>
      </c>
      <c r="AO18">
        <v>655</v>
      </c>
      <c r="AP18">
        <v>888</v>
      </c>
      <c r="AQ18">
        <v>1128</v>
      </c>
      <c r="AR18">
        <v>1694</v>
      </c>
      <c r="AS18">
        <v>2036</v>
      </c>
      <c r="AT18">
        <v>2502</v>
      </c>
      <c r="AU18">
        <v>3089</v>
      </c>
      <c r="AV18">
        <v>3858</v>
      </c>
      <c r="AW18">
        <v>4636</v>
      </c>
      <c r="AX18">
        <v>5883</v>
      </c>
      <c r="AY18">
        <v>7375</v>
      </c>
      <c r="AZ18">
        <v>9172</v>
      </c>
      <c r="BA18">
        <v>10149</v>
      </c>
      <c r="BB18">
        <v>12462</v>
      </c>
    </row>
    <row r="19" spans="1:54" hidden="1" x14ac:dyDescent="0.3">
      <c r="B19" t="s">
        <v>23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</row>
    <row r="20" spans="1:54" hidden="1" x14ac:dyDescent="0.3">
      <c r="B20" t="s">
        <v>24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</row>
    <row r="21" spans="1:54" hidden="1" x14ac:dyDescent="0.3">
      <c r="A21" t="s">
        <v>25</v>
      </c>
      <c r="B21" t="s">
        <v>12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</row>
    <row r="22" spans="1:54" hidden="1" x14ac:dyDescent="0.3">
      <c r="B22" t="s">
        <v>26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</row>
    <row r="23" spans="1:54" hidden="1" x14ac:dyDescent="0.3">
      <c r="B23" t="s">
        <v>27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</row>
    <row r="24" spans="1:54" hidden="1" x14ac:dyDescent="0.3">
      <c r="A24" t="s">
        <v>28</v>
      </c>
      <c r="B24" t="s">
        <v>12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hidden="1" x14ac:dyDescent="0.3">
      <c r="B25" t="s">
        <v>29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</row>
    <row r="26" spans="1:54" hidden="1" x14ac:dyDescent="0.3">
      <c r="B26" t="s">
        <v>30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</row>
    <row r="27" spans="1:54" hidden="1" x14ac:dyDescent="0.3">
      <c r="B27" t="s">
        <v>31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</row>
    <row r="28" spans="1:54" hidden="1" x14ac:dyDescent="0.3">
      <c r="B28" t="s">
        <v>32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</row>
    <row r="29" spans="1:54" hidden="1" x14ac:dyDescent="0.3">
      <c r="B29" t="s">
        <v>33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</row>
    <row r="30" spans="1:54" hidden="1" x14ac:dyDescent="0.3">
      <c r="B30" t="s">
        <v>34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</row>
    <row r="31" spans="1:54" hidden="1" x14ac:dyDescent="0.3">
      <c r="B31" t="s">
        <v>35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</row>
    <row r="32" spans="1:54" hidden="1" x14ac:dyDescent="0.3">
      <c r="B32" t="s">
        <v>36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</row>
    <row r="33" spans="2:54" hidden="1" x14ac:dyDescent="0.3">
      <c r="B33" t="s">
        <v>37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</row>
    <row r="34" spans="2:54" hidden="1" x14ac:dyDescent="0.3">
      <c r="B34" t="s">
        <v>38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</row>
    <row r="35" spans="2:54" hidden="1" x14ac:dyDescent="0.3">
      <c r="B35" t="s">
        <v>39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</row>
    <row r="36" spans="2:54" hidden="1" x14ac:dyDescent="0.3">
      <c r="B36" t="s">
        <v>40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</row>
    <row r="37" spans="2:54" hidden="1" x14ac:dyDescent="0.3">
      <c r="B37" t="s">
        <v>41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</row>
    <row r="38" spans="2:54" hidden="1" x14ac:dyDescent="0.3">
      <c r="B38" t="s">
        <v>42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</row>
    <row r="39" spans="2:54" hidden="1" x14ac:dyDescent="0.3">
      <c r="B39" t="s">
        <v>43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</row>
    <row r="40" spans="2:54" hidden="1" x14ac:dyDescent="0.3">
      <c r="B40" t="s">
        <v>44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</row>
    <row r="41" spans="2:54" hidden="1" x14ac:dyDescent="0.3">
      <c r="B41" t="s">
        <v>45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</row>
    <row r="42" spans="2:54" hidden="1" x14ac:dyDescent="0.3">
      <c r="B42" t="s">
        <v>46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</row>
    <row r="43" spans="2:54" hidden="1" x14ac:dyDescent="0.3">
      <c r="B43" t="s">
        <v>47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</row>
    <row r="44" spans="2:54" hidden="1" x14ac:dyDescent="0.3">
      <c r="B44" t="s">
        <v>48</v>
      </c>
      <c r="C44">
        <v>52.132599999999996</v>
      </c>
      <c r="D44">
        <v>5.2912999999999997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6</v>
      </c>
      <c r="AR44">
        <v>10</v>
      </c>
      <c r="AS44">
        <v>18</v>
      </c>
      <c r="AT44">
        <v>24</v>
      </c>
      <c r="AU44">
        <v>38</v>
      </c>
      <c r="AV44">
        <v>82</v>
      </c>
      <c r="AW44">
        <v>128</v>
      </c>
      <c r="AX44">
        <v>188</v>
      </c>
      <c r="AY44">
        <v>265</v>
      </c>
      <c r="AZ44">
        <v>321</v>
      </c>
      <c r="BA44">
        <v>382</v>
      </c>
      <c r="BB44">
        <v>503</v>
      </c>
    </row>
    <row r="45" spans="2:54" hidden="1" x14ac:dyDescent="0.3">
      <c r="B45" t="s">
        <v>49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</row>
    <row r="46" spans="2:54" hidden="1" x14ac:dyDescent="0.3">
      <c r="B46" t="s">
        <v>50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</row>
    <row r="47" spans="2:54" hidden="1" x14ac:dyDescent="0.3">
      <c r="B47" t="s">
        <v>51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</row>
    <row r="48" spans="2:54" hidden="1" x14ac:dyDescent="0.3">
      <c r="B48" t="s">
        <v>52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</row>
    <row r="49" spans="1:54" hidden="1" x14ac:dyDescent="0.3">
      <c r="B49" t="s">
        <v>53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</row>
    <row r="50" spans="1:54" hidden="1" x14ac:dyDescent="0.3">
      <c r="B50" t="s">
        <v>54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</row>
    <row r="51" spans="1:54" hidden="1" x14ac:dyDescent="0.3">
      <c r="B51" t="s">
        <v>55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</row>
    <row r="52" spans="1:54" hidden="1" x14ac:dyDescent="0.3">
      <c r="A52" t="s">
        <v>56</v>
      </c>
      <c r="B52" t="s">
        <v>12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</row>
    <row r="53" spans="1:54" hidden="1" x14ac:dyDescent="0.3">
      <c r="B53" t="s">
        <v>57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</row>
    <row r="54" spans="1:54" hidden="1" x14ac:dyDescent="0.3">
      <c r="B54" t="s">
        <v>58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</row>
    <row r="55" spans="1:54" hidden="1" x14ac:dyDescent="0.3">
      <c r="B55" t="s">
        <v>59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</row>
    <row r="56" spans="1:54" hidden="1" x14ac:dyDescent="0.3">
      <c r="B56" t="s">
        <v>60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</row>
    <row r="57" spans="1:54" hidden="1" x14ac:dyDescent="0.3">
      <c r="B57" t="s">
        <v>61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</row>
    <row r="58" spans="1:54" hidden="1" x14ac:dyDescent="0.3">
      <c r="B58" t="s">
        <v>62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</row>
    <row r="59" spans="1:54" hidden="1" x14ac:dyDescent="0.3">
      <c r="B59" t="s">
        <v>63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</row>
    <row r="60" spans="1:54" hidden="1" x14ac:dyDescent="0.3">
      <c r="B60" t="s">
        <v>64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</row>
    <row r="61" spans="1:54" hidden="1" x14ac:dyDescent="0.3">
      <c r="B61" t="s">
        <v>65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</row>
    <row r="62" spans="1:54" hidden="1" x14ac:dyDescent="0.3">
      <c r="B62" t="s">
        <v>66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</row>
    <row r="63" spans="1:54" hidden="1" x14ac:dyDescent="0.3">
      <c r="B63" t="s">
        <v>67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</row>
    <row r="64" spans="1:54" hidden="1" x14ac:dyDescent="0.3">
      <c r="A64" t="s">
        <v>68</v>
      </c>
      <c r="B64" t="s">
        <v>12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</row>
    <row r="65" spans="1:54" hidden="1" x14ac:dyDescent="0.3">
      <c r="B65" t="s">
        <v>69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</row>
    <row r="66" spans="1:54" hidden="1" x14ac:dyDescent="0.3">
      <c r="B66" t="s">
        <v>70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</row>
    <row r="67" spans="1:54" hidden="1" x14ac:dyDescent="0.3">
      <c r="B67" t="s">
        <v>71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</row>
    <row r="68" spans="1:54" hidden="1" x14ac:dyDescent="0.3">
      <c r="B68" t="s">
        <v>72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</row>
    <row r="69" spans="1:54" hidden="1" x14ac:dyDescent="0.3">
      <c r="B69" t="s">
        <v>73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</row>
    <row r="70" spans="1:54" hidden="1" x14ac:dyDescent="0.3">
      <c r="B70" t="s">
        <v>74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</row>
    <row r="71" spans="1:54" hidden="1" x14ac:dyDescent="0.3">
      <c r="B71" t="s">
        <v>75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</row>
    <row r="72" spans="1:54" hidden="1" x14ac:dyDescent="0.3">
      <c r="B72" t="s">
        <v>76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</row>
    <row r="73" spans="1:54" hidden="1" x14ac:dyDescent="0.3">
      <c r="B73" t="s">
        <v>77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</row>
    <row r="74" spans="1:54" hidden="1" x14ac:dyDescent="0.3">
      <c r="A74" t="s">
        <v>78</v>
      </c>
      <c r="B74" t="s">
        <v>12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</row>
    <row r="75" spans="1:54" hidden="1" x14ac:dyDescent="0.3">
      <c r="B75" t="s">
        <v>79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</row>
    <row r="76" spans="1:54" hidden="1" x14ac:dyDescent="0.3">
      <c r="B76" t="s">
        <v>80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</row>
    <row r="77" spans="1:54" hidden="1" x14ac:dyDescent="0.3">
      <c r="B77" t="s">
        <v>81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</row>
    <row r="78" spans="1:54" hidden="1" x14ac:dyDescent="0.3">
      <c r="B78" t="s">
        <v>82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</row>
    <row r="79" spans="1:54" hidden="1" x14ac:dyDescent="0.3">
      <c r="B79" t="s">
        <v>83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</row>
    <row r="80" spans="1:54" hidden="1" x14ac:dyDescent="0.3">
      <c r="B80" t="s">
        <v>84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</row>
    <row r="81" spans="1:54" hidden="1" x14ac:dyDescent="0.3">
      <c r="B81" t="s">
        <v>85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</row>
    <row r="82" spans="1:54" hidden="1" x14ac:dyDescent="0.3">
      <c r="B82" t="s">
        <v>86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</row>
    <row r="83" spans="1:54" hidden="1" x14ac:dyDescent="0.3">
      <c r="B83" t="s">
        <v>87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</row>
    <row r="84" spans="1:54" hidden="1" x14ac:dyDescent="0.3">
      <c r="B84" t="s">
        <v>88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</row>
    <row r="85" spans="1:54" hidden="1" x14ac:dyDescent="0.3">
      <c r="B85" t="s">
        <v>89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</row>
    <row r="86" spans="1:54" hidden="1" x14ac:dyDescent="0.3">
      <c r="B86" t="s">
        <v>90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</row>
    <row r="87" spans="1:54" hidden="1" x14ac:dyDescent="0.3">
      <c r="B87" t="s">
        <v>91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</row>
    <row r="88" spans="1:54" hidden="1" x14ac:dyDescent="0.3">
      <c r="B88" t="s">
        <v>92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</row>
    <row r="89" spans="1:54" hidden="1" x14ac:dyDescent="0.3">
      <c r="B89" t="s">
        <v>93</v>
      </c>
      <c r="C89">
        <v>3.9339</v>
      </c>
      <c r="D89">
        <v>-53.125799999999998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</v>
      </c>
      <c r="AY89">
        <v>5</v>
      </c>
      <c r="AZ89">
        <v>5</v>
      </c>
      <c r="BA89">
        <v>5</v>
      </c>
      <c r="BB89">
        <v>5</v>
      </c>
    </row>
    <row r="90" spans="1:54" hidden="1" x14ac:dyDescent="0.3">
      <c r="B90" t="s">
        <v>94</v>
      </c>
      <c r="C90">
        <v>35.9375</v>
      </c>
      <c r="D90">
        <v>14.375400000000001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3</v>
      </c>
      <c r="AY90">
        <v>3</v>
      </c>
      <c r="AZ90">
        <v>3</v>
      </c>
      <c r="BA90">
        <v>5</v>
      </c>
      <c r="BB90">
        <v>6</v>
      </c>
    </row>
    <row r="91" spans="1:54" hidden="1" x14ac:dyDescent="0.3">
      <c r="B91" t="s">
        <v>95</v>
      </c>
      <c r="C91">
        <v>14.641500000000001</v>
      </c>
      <c r="D91">
        <v>-61.0242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2</v>
      </c>
      <c r="AZ91">
        <v>2</v>
      </c>
      <c r="BA91">
        <v>2</v>
      </c>
      <c r="BB91">
        <v>3</v>
      </c>
    </row>
    <row r="92" spans="1:54" hidden="1" x14ac:dyDescent="0.3">
      <c r="B92" t="s">
        <v>96</v>
      </c>
      <c r="C92">
        <v>42.733899999999998</v>
      </c>
      <c r="D92">
        <v>25.485800000000001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4</v>
      </c>
      <c r="BB92">
        <v>7</v>
      </c>
    </row>
    <row r="93" spans="1:54" hidden="1" x14ac:dyDescent="0.3">
      <c r="B93" t="s">
        <v>97</v>
      </c>
      <c r="C93">
        <v>3.2027999999999999</v>
      </c>
      <c r="D93">
        <v>73.220699999999994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</v>
      </c>
      <c r="AZ93">
        <v>4</v>
      </c>
      <c r="BA93">
        <v>6</v>
      </c>
      <c r="BB93">
        <v>8</v>
      </c>
    </row>
    <row r="94" spans="1:54" hidden="1" x14ac:dyDescent="0.3">
      <c r="B94" t="s">
        <v>98</v>
      </c>
      <c r="C94">
        <v>23.684999999999999</v>
      </c>
      <c r="D94">
        <v>90.356300000000005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</v>
      </c>
      <c r="AZ94">
        <v>3</v>
      </c>
      <c r="BA94">
        <v>3</v>
      </c>
      <c r="BB94">
        <v>3</v>
      </c>
    </row>
    <row r="95" spans="1:54" hidden="1" x14ac:dyDescent="0.3">
      <c r="B95" t="s">
        <v>99</v>
      </c>
      <c r="C95">
        <v>-23.442499999999999</v>
      </c>
      <c r="D95">
        <v>-58.443800000000003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1</v>
      </c>
      <c r="BB95">
        <v>5</v>
      </c>
    </row>
    <row r="96" spans="1:54" hidden="1" x14ac:dyDescent="0.3">
      <c r="A96" t="s">
        <v>100</v>
      </c>
      <c r="B96" t="s">
        <v>10</v>
      </c>
      <c r="C96">
        <v>51.253799999999998</v>
      </c>
      <c r="D96">
        <v>-85.3232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3</v>
      </c>
      <c r="AL96">
        <v>4</v>
      </c>
      <c r="AM96">
        <v>4</v>
      </c>
      <c r="AN96">
        <v>4</v>
      </c>
      <c r="AO96">
        <v>6</v>
      </c>
      <c r="AP96">
        <v>6</v>
      </c>
      <c r="AQ96">
        <v>11</v>
      </c>
      <c r="AR96">
        <v>15</v>
      </c>
      <c r="AS96">
        <v>18</v>
      </c>
      <c r="AT96">
        <v>20</v>
      </c>
      <c r="AU96">
        <v>20</v>
      </c>
      <c r="AV96">
        <v>22</v>
      </c>
      <c r="AW96">
        <v>25</v>
      </c>
      <c r="AX96">
        <v>28</v>
      </c>
      <c r="AY96">
        <v>29</v>
      </c>
      <c r="AZ96">
        <v>34</v>
      </c>
      <c r="BA96">
        <v>36</v>
      </c>
      <c r="BB96">
        <v>41</v>
      </c>
    </row>
    <row r="97" spans="1:54" hidden="1" x14ac:dyDescent="0.3">
      <c r="A97" t="s">
        <v>101</v>
      </c>
      <c r="B97" t="s">
        <v>10</v>
      </c>
      <c r="C97">
        <v>53.933300000000003</v>
      </c>
      <c r="D97">
        <v>-116.5765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2</v>
      </c>
      <c r="AY97">
        <v>4</v>
      </c>
      <c r="AZ97">
        <v>7</v>
      </c>
      <c r="BA97">
        <v>7</v>
      </c>
      <c r="BB97">
        <v>19</v>
      </c>
    </row>
    <row r="98" spans="1:54" hidden="1" x14ac:dyDescent="0.3">
      <c r="A98" t="s">
        <v>102</v>
      </c>
      <c r="B98" t="s">
        <v>10</v>
      </c>
      <c r="C98">
        <v>52.939900000000002</v>
      </c>
      <c r="D98">
        <v>-73.549099999999996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2</v>
      </c>
      <c r="AW98">
        <v>2</v>
      </c>
      <c r="AX98">
        <v>3</v>
      </c>
      <c r="AY98">
        <v>4</v>
      </c>
      <c r="AZ98">
        <v>4</v>
      </c>
      <c r="BA98">
        <v>4</v>
      </c>
      <c r="BB98">
        <v>8</v>
      </c>
    </row>
    <row r="99" spans="1:54" hidden="1" x14ac:dyDescent="0.3">
      <c r="B99" t="s">
        <v>103</v>
      </c>
      <c r="C99">
        <v>41.153300000000002</v>
      </c>
      <c r="D99">
        <v>20.168299999999999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10</v>
      </c>
      <c r="BB99">
        <v>12</v>
      </c>
    </row>
    <row r="100" spans="1:54" hidden="1" x14ac:dyDescent="0.3">
      <c r="B100" t="s">
        <v>104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3</v>
      </c>
      <c r="BB100">
        <v>6</v>
      </c>
    </row>
    <row r="101" spans="1:54" hidden="1" x14ac:dyDescent="0.3">
      <c r="B101" t="s">
        <v>105</v>
      </c>
      <c r="C101">
        <v>4.5353000000000003</v>
      </c>
      <c r="D101">
        <v>114.7277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11</v>
      </c>
    </row>
    <row r="102" spans="1:54" hidden="1" x14ac:dyDescent="0.3">
      <c r="A102" t="s">
        <v>106</v>
      </c>
      <c r="B102" t="s">
        <v>107</v>
      </c>
      <c r="C102">
        <v>47.4009</v>
      </c>
      <c r="D102">
        <v>-121.4905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267</v>
      </c>
      <c r="BB102">
        <v>366</v>
      </c>
    </row>
    <row r="103" spans="1:54" hidden="1" x14ac:dyDescent="0.3">
      <c r="A103" t="s">
        <v>108</v>
      </c>
      <c r="B103" t="s">
        <v>107</v>
      </c>
      <c r="C103">
        <v>42.165700000000001</v>
      </c>
      <c r="D103">
        <v>-74.948099999999997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173</v>
      </c>
      <c r="BB103">
        <v>220</v>
      </c>
    </row>
    <row r="104" spans="1:54" x14ac:dyDescent="0.3">
      <c r="A104" t="s">
        <v>109</v>
      </c>
      <c r="B104" t="s">
        <v>107</v>
      </c>
      <c r="C104">
        <v>36.116199999999999</v>
      </c>
      <c r="D104">
        <v>-119.6816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144</v>
      </c>
      <c r="BB104">
        <v>177</v>
      </c>
    </row>
    <row r="105" spans="1:54" hidden="1" x14ac:dyDescent="0.3">
      <c r="A105" t="s">
        <v>110</v>
      </c>
      <c r="B105" t="s">
        <v>107</v>
      </c>
      <c r="C105">
        <v>42.230200000000004</v>
      </c>
      <c r="D105">
        <v>-71.530100000000004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92</v>
      </c>
      <c r="BB105">
        <v>95</v>
      </c>
    </row>
    <row r="106" spans="1:54" hidden="1" x14ac:dyDescent="0.3">
      <c r="A106" t="s">
        <v>111</v>
      </c>
      <c r="B106" t="s">
        <v>107</v>
      </c>
      <c r="C106">
        <v>35.4437</v>
      </c>
      <c r="D106">
        <v>139.63800000000001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36</v>
      </c>
      <c r="AM106">
        <v>36</v>
      </c>
      <c r="AN106">
        <v>42</v>
      </c>
      <c r="AO106">
        <v>42</v>
      </c>
      <c r="AP106">
        <v>44</v>
      </c>
      <c r="AQ106">
        <v>44</v>
      </c>
      <c r="AR106">
        <v>44</v>
      </c>
      <c r="AS106">
        <v>45</v>
      </c>
      <c r="AT106">
        <v>45</v>
      </c>
      <c r="AU106">
        <v>45</v>
      </c>
      <c r="AV106">
        <v>45</v>
      </c>
      <c r="AW106">
        <v>45</v>
      </c>
      <c r="AX106">
        <v>45</v>
      </c>
      <c r="AY106">
        <v>45</v>
      </c>
      <c r="AZ106">
        <v>45</v>
      </c>
      <c r="BA106">
        <v>46</v>
      </c>
      <c r="BB106">
        <v>46</v>
      </c>
    </row>
    <row r="107" spans="1:54" hidden="1" x14ac:dyDescent="0.3">
      <c r="A107" t="s">
        <v>112</v>
      </c>
      <c r="B107" t="s">
        <v>107</v>
      </c>
      <c r="C107">
        <v>37.648899999999998</v>
      </c>
      <c r="D107">
        <v>-122.66549999999999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21</v>
      </c>
      <c r="AY107">
        <v>21</v>
      </c>
      <c r="AZ107">
        <v>21</v>
      </c>
      <c r="BA107">
        <v>21</v>
      </c>
      <c r="BB107">
        <v>21</v>
      </c>
    </row>
    <row r="108" spans="1:54" hidden="1" x14ac:dyDescent="0.3">
      <c r="A108" t="s">
        <v>42</v>
      </c>
      <c r="B108" t="s">
        <v>107</v>
      </c>
      <c r="C108">
        <v>33.040599999999998</v>
      </c>
      <c r="D108">
        <v>-83.643100000000004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17</v>
      </c>
      <c r="BB108">
        <v>23</v>
      </c>
    </row>
    <row r="109" spans="1:54" hidden="1" x14ac:dyDescent="0.3">
      <c r="A109" t="s">
        <v>113</v>
      </c>
      <c r="B109" t="s">
        <v>107</v>
      </c>
      <c r="C109">
        <v>39.059800000000003</v>
      </c>
      <c r="D109">
        <v>-105.3111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34</v>
      </c>
    </row>
    <row r="110" spans="1:54" hidden="1" x14ac:dyDescent="0.3">
      <c r="A110" t="s">
        <v>114</v>
      </c>
      <c r="B110" t="s">
        <v>107</v>
      </c>
      <c r="C110">
        <v>27.766300000000001</v>
      </c>
      <c r="D110">
        <v>-81.686800000000005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28</v>
      </c>
    </row>
    <row r="111" spans="1:54" hidden="1" x14ac:dyDescent="0.3">
      <c r="A111" t="s">
        <v>115</v>
      </c>
      <c r="B111" t="s">
        <v>107</v>
      </c>
      <c r="C111">
        <v>40.298900000000003</v>
      </c>
      <c r="D111">
        <v>-74.521000000000001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23</v>
      </c>
    </row>
    <row r="112" spans="1:54" hidden="1" x14ac:dyDescent="0.3">
      <c r="A112" t="s">
        <v>116</v>
      </c>
      <c r="B112" t="s">
        <v>107</v>
      </c>
      <c r="C112">
        <v>44.572000000000003</v>
      </c>
      <c r="D112">
        <v>-122.07089999999999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15</v>
      </c>
      <c r="BB112">
        <v>19</v>
      </c>
    </row>
    <row r="113" spans="1:54" hidden="1" x14ac:dyDescent="0.3">
      <c r="A113" t="s">
        <v>117</v>
      </c>
      <c r="B113" t="s">
        <v>107</v>
      </c>
      <c r="C113">
        <v>31.054500000000001</v>
      </c>
      <c r="D113">
        <v>-97.563500000000005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13</v>
      </c>
      <c r="BB113">
        <v>21</v>
      </c>
    </row>
    <row r="114" spans="1:54" hidden="1" x14ac:dyDescent="0.3">
      <c r="A114" t="s">
        <v>118</v>
      </c>
      <c r="B114" t="s">
        <v>107</v>
      </c>
      <c r="C114">
        <v>40.349499999999999</v>
      </c>
      <c r="D114">
        <v>-88.986099999999993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25</v>
      </c>
    </row>
    <row r="115" spans="1:54" hidden="1" x14ac:dyDescent="0.3">
      <c r="A115" t="s">
        <v>119</v>
      </c>
      <c r="B115" t="s">
        <v>107</v>
      </c>
      <c r="C115">
        <v>40.590800000000002</v>
      </c>
      <c r="D115">
        <v>-77.209800000000001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12</v>
      </c>
      <c r="BB115">
        <v>16</v>
      </c>
    </row>
    <row r="116" spans="1:54" hidden="1" x14ac:dyDescent="0.3">
      <c r="A116" t="s">
        <v>120</v>
      </c>
      <c r="B116" t="s">
        <v>107</v>
      </c>
      <c r="C116">
        <v>42.011499999999998</v>
      </c>
      <c r="D116">
        <v>-93.210499999999996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13</v>
      </c>
    </row>
    <row r="117" spans="1:54" hidden="1" x14ac:dyDescent="0.3">
      <c r="A117" t="s">
        <v>121</v>
      </c>
      <c r="B117" t="s">
        <v>107</v>
      </c>
      <c r="C117">
        <v>39.063899999999997</v>
      </c>
      <c r="D117">
        <v>-76.802099999999996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8</v>
      </c>
      <c r="BB117">
        <v>9</v>
      </c>
    </row>
    <row r="118" spans="1:54" hidden="1" x14ac:dyDescent="0.3">
      <c r="A118" t="s">
        <v>122</v>
      </c>
      <c r="B118" t="s">
        <v>107</v>
      </c>
      <c r="C118">
        <v>35.630099999999999</v>
      </c>
      <c r="D118">
        <v>-79.806399999999996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7</v>
      </c>
    </row>
    <row r="119" spans="1:54" hidden="1" x14ac:dyDescent="0.3">
      <c r="A119" t="s">
        <v>123</v>
      </c>
      <c r="B119" t="s">
        <v>107</v>
      </c>
      <c r="C119">
        <v>33.856900000000003</v>
      </c>
      <c r="D119">
        <v>-80.944999999999993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10</v>
      </c>
    </row>
    <row r="120" spans="1:54" hidden="1" x14ac:dyDescent="0.3">
      <c r="A120" t="s">
        <v>124</v>
      </c>
      <c r="B120" t="s">
        <v>107</v>
      </c>
      <c r="C120">
        <v>35.747799999999998</v>
      </c>
      <c r="D120">
        <v>-86.692300000000003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</row>
    <row r="121" spans="1:54" x14ac:dyDescent="0.3">
      <c r="A121" t="s">
        <v>125</v>
      </c>
      <c r="B121" t="s">
        <v>107</v>
      </c>
      <c r="C121">
        <v>37.769300000000001</v>
      </c>
      <c r="D121">
        <v>-78.17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7</v>
      </c>
      <c r="BB121">
        <v>9</v>
      </c>
    </row>
    <row r="122" spans="1:54" hidden="1" x14ac:dyDescent="0.3">
      <c r="A122" t="s">
        <v>126</v>
      </c>
      <c r="B122" t="s">
        <v>107</v>
      </c>
      <c r="C122">
        <v>33.729799999999997</v>
      </c>
      <c r="D122">
        <v>-111.4312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9</v>
      </c>
    </row>
    <row r="123" spans="1:54" hidden="1" x14ac:dyDescent="0.3">
      <c r="A123" t="s">
        <v>127</v>
      </c>
      <c r="B123" t="s">
        <v>107</v>
      </c>
      <c r="C123">
        <v>39.849400000000003</v>
      </c>
      <c r="D123">
        <v>-86.258300000000006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11</v>
      </c>
    </row>
    <row r="124" spans="1:54" hidden="1" x14ac:dyDescent="0.3">
      <c r="A124" t="s">
        <v>128</v>
      </c>
      <c r="B124" t="s">
        <v>107</v>
      </c>
      <c r="C124">
        <v>37.668100000000003</v>
      </c>
      <c r="D124">
        <v>-84.670100000000005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6</v>
      </c>
      <c r="BB124">
        <v>8</v>
      </c>
    </row>
    <row r="125" spans="1:54" hidden="1" x14ac:dyDescent="0.3">
      <c r="A125" t="s">
        <v>129</v>
      </c>
      <c r="B125" t="s">
        <v>107</v>
      </c>
      <c r="C125">
        <v>38.897399999999998</v>
      </c>
      <c r="D125">
        <v>-77.026799999999994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5</v>
      </c>
      <c r="BB125">
        <v>10</v>
      </c>
    </row>
    <row r="126" spans="1:54" hidden="1" x14ac:dyDescent="0.3">
      <c r="A126" t="s">
        <v>130</v>
      </c>
      <c r="B126" t="s">
        <v>107</v>
      </c>
      <c r="C126">
        <v>38.313499999999998</v>
      </c>
      <c r="D126">
        <v>-117.05540000000001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7</v>
      </c>
    </row>
    <row r="127" spans="1:54" hidden="1" x14ac:dyDescent="0.3">
      <c r="A127" t="s">
        <v>131</v>
      </c>
      <c r="B127" t="s">
        <v>107</v>
      </c>
      <c r="C127">
        <v>43.452500000000001</v>
      </c>
      <c r="D127">
        <v>-71.563900000000004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4</v>
      </c>
      <c r="BB127">
        <v>5</v>
      </c>
    </row>
    <row r="128" spans="1:54" hidden="1" x14ac:dyDescent="0.3">
      <c r="A128" t="s">
        <v>132</v>
      </c>
      <c r="B128" t="s">
        <v>107</v>
      </c>
      <c r="C128">
        <v>45.694499999999998</v>
      </c>
      <c r="D128">
        <v>-93.900199999999998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</row>
    <row r="129" spans="1:54" hidden="1" x14ac:dyDescent="0.3">
      <c r="A129" t="s">
        <v>133</v>
      </c>
      <c r="B129" t="s">
        <v>107</v>
      </c>
      <c r="C129">
        <v>41.125399999999999</v>
      </c>
      <c r="D129">
        <v>-98.268100000000004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5</v>
      </c>
    </row>
    <row r="130" spans="1:54" hidden="1" x14ac:dyDescent="0.3">
      <c r="A130" t="s">
        <v>134</v>
      </c>
      <c r="B130" t="s">
        <v>107</v>
      </c>
      <c r="C130">
        <v>40.388800000000003</v>
      </c>
      <c r="D130">
        <v>-82.764899999999997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4</v>
      </c>
    </row>
    <row r="131" spans="1:54" hidden="1" x14ac:dyDescent="0.3">
      <c r="A131" t="s">
        <v>135</v>
      </c>
      <c r="B131" t="s">
        <v>107</v>
      </c>
      <c r="C131">
        <v>41.680900000000001</v>
      </c>
      <c r="D131">
        <v>-71.511799999999994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5</v>
      </c>
    </row>
    <row r="132" spans="1:54" hidden="1" x14ac:dyDescent="0.3">
      <c r="A132" t="s">
        <v>136</v>
      </c>
      <c r="B132" t="s">
        <v>107</v>
      </c>
      <c r="C132">
        <v>44.268500000000003</v>
      </c>
      <c r="D132">
        <v>-89.616500000000002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3</v>
      </c>
      <c r="BB132">
        <v>6</v>
      </c>
    </row>
    <row r="133" spans="1:54" hidden="1" x14ac:dyDescent="0.3">
      <c r="A133" t="s">
        <v>137</v>
      </c>
      <c r="B133" t="s">
        <v>107</v>
      </c>
      <c r="C133">
        <v>41.597799999999999</v>
      </c>
      <c r="D133">
        <v>-72.755399999999995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3</v>
      </c>
    </row>
    <row r="134" spans="1:54" hidden="1" x14ac:dyDescent="0.3">
      <c r="A134" t="s">
        <v>138</v>
      </c>
      <c r="B134" t="s">
        <v>107</v>
      </c>
      <c r="C134">
        <v>21.0943</v>
      </c>
      <c r="D134">
        <v>-157.4983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</row>
    <row r="135" spans="1:54" hidden="1" x14ac:dyDescent="0.3">
      <c r="A135" t="s">
        <v>139</v>
      </c>
      <c r="B135" t="s">
        <v>107</v>
      </c>
      <c r="C135">
        <v>35.565300000000001</v>
      </c>
      <c r="D135">
        <v>-96.928899999999999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2</v>
      </c>
    </row>
    <row r="136" spans="1:54" hidden="1" x14ac:dyDescent="0.3">
      <c r="A136" t="s">
        <v>140</v>
      </c>
      <c r="B136" t="s">
        <v>107</v>
      </c>
      <c r="C136">
        <v>40.15</v>
      </c>
      <c r="D136">
        <v>-111.86239999999999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</v>
      </c>
      <c r="BB136">
        <v>3</v>
      </c>
    </row>
    <row r="137" spans="1:54" hidden="1" x14ac:dyDescent="0.3">
      <c r="B137" t="s">
        <v>141</v>
      </c>
      <c r="C137">
        <v>12.238300000000001</v>
      </c>
      <c r="D137">
        <v>-1.5616000000000001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2</v>
      </c>
    </row>
    <row r="138" spans="1:54" hidden="1" x14ac:dyDescent="0.3">
      <c r="B138" t="s">
        <v>142</v>
      </c>
      <c r="C138">
        <v>41.902900000000002</v>
      </c>
      <c r="D138">
        <v>12.4534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</row>
    <row r="139" spans="1:54" hidden="1" x14ac:dyDescent="0.3">
      <c r="B139" t="s">
        <v>143</v>
      </c>
      <c r="C139">
        <v>46.862499999999997</v>
      </c>
      <c r="D139">
        <v>103.8467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1</v>
      </c>
    </row>
    <row r="140" spans="1:54" hidden="1" x14ac:dyDescent="0.3">
      <c r="B140" t="s">
        <v>144</v>
      </c>
      <c r="C140">
        <v>8.5380000000000003</v>
      </c>
      <c r="D140">
        <v>-80.7821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8</v>
      </c>
    </row>
    <row r="141" spans="1:54" hidden="1" x14ac:dyDescent="0.3">
      <c r="A141" t="s">
        <v>145</v>
      </c>
      <c r="B141" t="s">
        <v>107</v>
      </c>
      <c r="C141">
        <v>38.526600000000002</v>
      </c>
      <c r="D141">
        <v>-96.726500000000001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</row>
    <row r="142" spans="1:54" hidden="1" x14ac:dyDescent="0.3">
      <c r="A142" t="s">
        <v>146</v>
      </c>
      <c r="B142" t="s">
        <v>107</v>
      </c>
      <c r="C142">
        <v>31.169499999999999</v>
      </c>
      <c r="D142">
        <v>-91.867800000000003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6</v>
      </c>
    </row>
    <row r="143" spans="1:54" hidden="1" x14ac:dyDescent="0.3">
      <c r="A143" t="s">
        <v>147</v>
      </c>
      <c r="B143" t="s">
        <v>107</v>
      </c>
      <c r="C143">
        <v>38.456099999999999</v>
      </c>
      <c r="D143">
        <v>-92.288399999999996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</row>
    <row r="144" spans="1:54" hidden="1" x14ac:dyDescent="0.3">
      <c r="A144" t="s">
        <v>148</v>
      </c>
      <c r="B144" t="s">
        <v>107</v>
      </c>
      <c r="C144">
        <v>44.045900000000003</v>
      </c>
      <c r="D144">
        <v>-72.710700000000003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</row>
    <row r="145" spans="1:54" hidden="1" x14ac:dyDescent="0.3">
      <c r="A145" t="s">
        <v>149</v>
      </c>
      <c r="B145" t="s">
        <v>107</v>
      </c>
      <c r="C145">
        <v>61.370699999999999</v>
      </c>
      <c r="D145">
        <v>-152.40440000000001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 hidden="1" x14ac:dyDescent="0.3">
      <c r="A146" t="s">
        <v>150</v>
      </c>
      <c r="B146" t="s">
        <v>107</v>
      </c>
      <c r="C146">
        <v>34.969700000000003</v>
      </c>
      <c r="D146">
        <v>-92.373099999999994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</row>
    <row r="147" spans="1:54" hidden="1" x14ac:dyDescent="0.3">
      <c r="A147" t="s">
        <v>151</v>
      </c>
      <c r="B147" t="s">
        <v>107</v>
      </c>
      <c r="C147">
        <v>39.3185</v>
      </c>
      <c r="D147">
        <v>-75.507099999999994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</row>
    <row r="148" spans="1:54" hidden="1" x14ac:dyDescent="0.3">
      <c r="A148" t="s">
        <v>152</v>
      </c>
      <c r="B148" t="s">
        <v>107</v>
      </c>
      <c r="C148">
        <v>44.240499999999997</v>
      </c>
      <c r="D148">
        <v>-114.47880000000001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4" hidden="1" x14ac:dyDescent="0.3">
      <c r="A149" t="s">
        <v>153</v>
      </c>
      <c r="B149" t="s">
        <v>107</v>
      </c>
      <c r="C149">
        <v>44.693899999999999</v>
      </c>
      <c r="D149">
        <v>-69.381900000000002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1:54" hidden="1" x14ac:dyDescent="0.3">
      <c r="A150" t="s">
        <v>154</v>
      </c>
      <c r="B150" t="s">
        <v>107</v>
      </c>
      <c r="C150">
        <v>43.326599999999999</v>
      </c>
      <c r="D150">
        <v>-84.536100000000005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2</v>
      </c>
    </row>
    <row r="151" spans="1:54" hidden="1" x14ac:dyDescent="0.3">
      <c r="A151" t="s">
        <v>155</v>
      </c>
      <c r="B151" t="s">
        <v>107</v>
      </c>
      <c r="C151">
        <v>32.741599999999998</v>
      </c>
      <c r="D151">
        <v>-89.678700000000006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 hidden="1" x14ac:dyDescent="0.3">
      <c r="A152" t="s">
        <v>156</v>
      </c>
      <c r="B152" t="s">
        <v>107</v>
      </c>
      <c r="C152">
        <v>46.921900000000001</v>
      </c>
      <c r="D152">
        <v>-110.45440000000001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</row>
    <row r="153" spans="1:54" hidden="1" x14ac:dyDescent="0.3">
      <c r="A153" t="s">
        <v>157</v>
      </c>
      <c r="B153" t="s">
        <v>107</v>
      </c>
      <c r="C153">
        <v>34.840499999999999</v>
      </c>
      <c r="D153">
        <v>-106.24850000000001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3</v>
      </c>
    </row>
    <row r="154" spans="1:54" hidden="1" x14ac:dyDescent="0.3">
      <c r="A154" t="s">
        <v>158</v>
      </c>
      <c r="B154" t="s">
        <v>107</v>
      </c>
      <c r="C154">
        <v>47.5289</v>
      </c>
      <c r="D154">
        <v>-99.784000000000006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 hidden="1" x14ac:dyDescent="0.3">
      <c r="A155" t="s">
        <v>159</v>
      </c>
      <c r="B155" t="s">
        <v>107</v>
      </c>
      <c r="C155">
        <v>44.299799999999998</v>
      </c>
      <c r="D155">
        <v>-99.438800000000001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8</v>
      </c>
    </row>
    <row r="156" spans="1:54" hidden="1" x14ac:dyDescent="0.3">
      <c r="A156" t="s">
        <v>160</v>
      </c>
      <c r="B156" t="s">
        <v>107</v>
      </c>
      <c r="C156">
        <v>38.491199999999999</v>
      </c>
      <c r="D156">
        <v>-80.954499999999996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 hidden="1" x14ac:dyDescent="0.3">
      <c r="A157" t="s">
        <v>161</v>
      </c>
      <c r="B157" t="s">
        <v>107</v>
      </c>
      <c r="C157">
        <v>42.756</v>
      </c>
      <c r="D157">
        <v>-107.30249999999999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1:54" hidden="1" x14ac:dyDescent="0.3">
      <c r="A158" t="s">
        <v>162</v>
      </c>
      <c r="B158" t="s">
        <v>163</v>
      </c>
      <c r="C158">
        <v>30.9756</v>
      </c>
      <c r="D158">
        <v>112.27070000000001</v>
      </c>
      <c r="E158">
        <v>444</v>
      </c>
      <c r="F158">
        <v>444</v>
      </c>
      <c r="G158">
        <v>549</v>
      </c>
      <c r="H158">
        <v>761</v>
      </c>
      <c r="I158">
        <v>1058</v>
      </c>
      <c r="J158">
        <v>1423</v>
      </c>
      <c r="K158">
        <v>3554</v>
      </c>
      <c r="L158">
        <v>3554</v>
      </c>
      <c r="M158">
        <v>4903</v>
      </c>
      <c r="N158">
        <v>5806</v>
      </c>
      <c r="O158">
        <v>7153</v>
      </c>
      <c r="P158">
        <v>11177</v>
      </c>
      <c r="Q158">
        <v>13522</v>
      </c>
      <c r="R158">
        <v>16678</v>
      </c>
      <c r="S158">
        <v>19665</v>
      </c>
      <c r="T158">
        <v>22112</v>
      </c>
      <c r="U158">
        <v>24953</v>
      </c>
      <c r="V158">
        <v>27100</v>
      </c>
      <c r="W158">
        <v>29631</v>
      </c>
      <c r="X158">
        <v>31728</v>
      </c>
      <c r="Y158">
        <v>33366</v>
      </c>
      <c r="Z158">
        <v>33366</v>
      </c>
      <c r="AA158">
        <v>48206</v>
      </c>
      <c r="AB158">
        <v>54406</v>
      </c>
      <c r="AC158">
        <v>56249</v>
      </c>
      <c r="AD158">
        <v>58182</v>
      </c>
      <c r="AE158">
        <v>59989</v>
      </c>
      <c r="AF158">
        <v>61682</v>
      </c>
      <c r="AG158">
        <v>62031</v>
      </c>
      <c r="AH158">
        <v>62442</v>
      </c>
      <c r="AI158">
        <v>62662</v>
      </c>
      <c r="AJ158">
        <v>64084</v>
      </c>
      <c r="AK158">
        <v>64084</v>
      </c>
      <c r="AL158">
        <v>64287</v>
      </c>
      <c r="AM158">
        <v>64786</v>
      </c>
      <c r="AN158">
        <v>65187</v>
      </c>
      <c r="AO158">
        <v>65596</v>
      </c>
      <c r="AP158">
        <v>65914</v>
      </c>
      <c r="AQ158">
        <v>66337</v>
      </c>
      <c r="AR158">
        <v>66907</v>
      </c>
      <c r="AS158">
        <v>67103</v>
      </c>
      <c r="AT158">
        <v>67217</v>
      </c>
      <c r="AU158">
        <v>67332</v>
      </c>
      <c r="AV158">
        <v>67466</v>
      </c>
      <c r="AW158">
        <v>67592</v>
      </c>
      <c r="AX158">
        <v>67666</v>
      </c>
      <c r="AY158">
        <v>67707</v>
      </c>
      <c r="AZ158">
        <v>67743</v>
      </c>
      <c r="BA158">
        <v>67760</v>
      </c>
      <c r="BB158">
        <v>67773</v>
      </c>
    </row>
    <row r="159" spans="1:54" hidden="1" x14ac:dyDescent="0.3">
      <c r="B159" t="s">
        <v>164</v>
      </c>
      <c r="C159">
        <v>32</v>
      </c>
      <c r="D159">
        <v>53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2</v>
      </c>
      <c r="AH159">
        <v>5</v>
      </c>
      <c r="AI159">
        <v>18</v>
      </c>
      <c r="AJ159">
        <v>28</v>
      </c>
      <c r="AK159">
        <v>43</v>
      </c>
      <c r="AL159">
        <v>61</v>
      </c>
      <c r="AM159">
        <v>95</v>
      </c>
      <c r="AN159">
        <v>139</v>
      </c>
      <c r="AO159">
        <v>245</v>
      </c>
      <c r="AP159">
        <v>388</v>
      </c>
      <c r="AQ159">
        <v>593</v>
      </c>
      <c r="AR159">
        <v>978</v>
      </c>
      <c r="AS159">
        <v>1501</v>
      </c>
      <c r="AT159">
        <v>2336</v>
      </c>
      <c r="AU159">
        <v>2922</v>
      </c>
      <c r="AV159">
        <v>3513</v>
      </c>
      <c r="AW159">
        <v>4747</v>
      </c>
      <c r="AX159">
        <v>5823</v>
      </c>
      <c r="AY159">
        <v>6566</v>
      </c>
      <c r="AZ159">
        <v>7161</v>
      </c>
      <c r="BA159">
        <v>8042</v>
      </c>
      <c r="BB159">
        <v>9000</v>
      </c>
    </row>
    <row r="160" spans="1:54" hidden="1" x14ac:dyDescent="0.3">
      <c r="B160" t="s">
        <v>165</v>
      </c>
      <c r="C160">
        <v>36</v>
      </c>
      <c r="D160">
        <v>128</v>
      </c>
      <c r="E160">
        <v>1</v>
      </c>
      <c r="F160">
        <v>1</v>
      </c>
      <c r="G160">
        <v>2</v>
      </c>
      <c r="H160">
        <v>2</v>
      </c>
      <c r="I160">
        <v>3</v>
      </c>
      <c r="J160">
        <v>4</v>
      </c>
      <c r="K160">
        <v>4</v>
      </c>
      <c r="L160">
        <v>4</v>
      </c>
      <c r="M160">
        <v>4</v>
      </c>
      <c r="N160">
        <v>11</v>
      </c>
      <c r="O160">
        <v>12</v>
      </c>
      <c r="P160">
        <v>15</v>
      </c>
      <c r="Q160">
        <v>15</v>
      </c>
      <c r="R160">
        <v>16</v>
      </c>
      <c r="S160">
        <v>19</v>
      </c>
      <c r="T160">
        <v>23</v>
      </c>
      <c r="U160">
        <v>24</v>
      </c>
      <c r="V160">
        <v>24</v>
      </c>
      <c r="W160">
        <v>25</v>
      </c>
      <c r="X160">
        <v>27</v>
      </c>
      <c r="Y160">
        <v>28</v>
      </c>
      <c r="Z160">
        <v>28</v>
      </c>
      <c r="AA160">
        <v>28</v>
      </c>
      <c r="AB160">
        <v>28</v>
      </c>
      <c r="AC160">
        <v>28</v>
      </c>
      <c r="AD160">
        <v>29</v>
      </c>
      <c r="AE160">
        <v>30</v>
      </c>
      <c r="AF160">
        <v>31</v>
      </c>
      <c r="AG160">
        <v>31</v>
      </c>
      <c r="AH160">
        <v>104</v>
      </c>
      <c r="AI160">
        <v>204</v>
      </c>
      <c r="AJ160">
        <v>433</v>
      </c>
      <c r="AK160">
        <v>602</v>
      </c>
      <c r="AL160">
        <v>833</v>
      </c>
      <c r="AM160">
        <v>977</v>
      </c>
      <c r="AN160">
        <v>1261</v>
      </c>
      <c r="AO160">
        <v>1766</v>
      </c>
      <c r="AP160">
        <v>2337</v>
      </c>
      <c r="AQ160">
        <v>3150</v>
      </c>
      <c r="AR160">
        <v>3736</v>
      </c>
      <c r="AS160">
        <v>4335</v>
      </c>
      <c r="AT160">
        <v>5186</v>
      </c>
      <c r="AU160">
        <v>5621</v>
      </c>
      <c r="AV160">
        <v>6088</v>
      </c>
      <c r="AW160">
        <v>6593</v>
      </c>
      <c r="AX160">
        <v>7041</v>
      </c>
      <c r="AY160">
        <v>7314</v>
      </c>
      <c r="AZ160">
        <v>7478</v>
      </c>
      <c r="BA160">
        <v>7513</v>
      </c>
      <c r="BB160">
        <v>7755</v>
      </c>
    </row>
    <row r="161" spans="1:54" hidden="1" x14ac:dyDescent="0.3">
      <c r="A161" t="s">
        <v>166</v>
      </c>
      <c r="B161" t="s">
        <v>166</v>
      </c>
      <c r="C161">
        <v>46.227600000000002</v>
      </c>
      <c r="D161">
        <v>2.2136999999999998</v>
      </c>
      <c r="E161">
        <v>0</v>
      </c>
      <c r="F161">
        <v>0</v>
      </c>
      <c r="G161">
        <v>2</v>
      </c>
      <c r="H161">
        <v>3</v>
      </c>
      <c r="I161">
        <v>3</v>
      </c>
      <c r="J161">
        <v>3</v>
      </c>
      <c r="K161">
        <v>4</v>
      </c>
      <c r="L161">
        <v>5</v>
      </c>
      <c r="M161">
        <v>5</v>
      </c>
      <c r="N161">
        <v>5</v>
      </c>
      <c r="O161">
        <v>6</v>
      </c>
      <c r="P161">
        <v>6</v>
      </c>
      <c r="Q161">
        <v>6</v>
      </c>
      <c r="R161">
        <v>6</v>
      </c>
      <c r="S161">
        <v>6</v>
      </c>
      <c r="T161">
        <v>6</v>
      </c>
      <c r="U161">
        <v>6</v>
      </c>
      <c r="V161">
        <v>11</v>
      </c>
      <c r="W161">
        <v>11</v>
      </c>
      <c r="X161">
        <v>11</v>
      </c>
      <c r="Y161">
        <v>11</v>
      </c>
      <c r="Z161">
        <v>11</v>
      </c>
      <c r="AA161">
        <v>11</v>
      </c>
      <c r="AB161">
        <v>11</v>
      </c>
      <c r="AC161">
        <v>12</v>
      </c>
      <c r="AD161">
        <v>12</v>
      </c>
      <c r="AE161">
        <v>12</v>
      </c>
      <c r="AF161">
        <v>12</v>
      </c>
      <c r="AG161">
        <v>12</v>
      </c>
      <c r="AH161">
        <v>12</v>
      </c>
      <c r="AI161">
        <v>12</v>
      </c>
      <c r="AJ161">
        <v>12</v>
      </c>
      <c r="AK161">
        <v>12</v>
      </c>
      <c r="AL161">
        <v>12</v>
      </c>
      <c r="AM161">
        <v>14</v>
      </c>
      <c r="AN161">
        <v>18</v>
      </c>
      <c r="AO161">
        <v>38</v>
      </c>
      <c r="AP161">
        <v>57</v>
      </c>
      <c r="AQ161">
        <v>100</v>
      </c>
      <c r="AR161">
        <v>130</v>
      </c>
      <c r="AS161">
        <v>191</v>
      </c>
      <c r="AT161">
        <v>204</v>
      </c>
      <c r="AU161">
        <v>285</v>
      </c>
      <c r="AV161">
        <v>377</v>
      </c>
      <c r="AW161">
        <v>653</v>
      </c>
      <c r="AX161">
        <v>949</v>
      </c>
      <c r="AY161">
        <v>1126</v>
      </c>
      <c r="AZ161">
        <v>1209</v>
      </c>
      <c r="BA161">
        <v>1784</v>
      </c>
      <c r="BB161">
        <v>2281</v>
      </c>
    </row>
    <row r="162" spans="1:54" hidden="1" x14ac:dyDescent="0.3">
      <c r="A162" t="s">
        <v>167</v>
      </c>
      <c r="B162" t="s">
        <v>163</v>
      </c>
      <c r="C162">
        <v>23.341699999999999</v>
      </c>
      <c r="D162">
        <v>113.42440000000001</v>
      </c>
      <c r="E162">
        <v>26</v>
      </c>
      <c r="F162">
        <v>32</v>
      </c>
      <c r="G162">
        <v>53</v>
      </c>
      <c r="H162">
        <v>78</v>
      </c>
      <c r="I162">
        <v>111</v>
      </c>
      <c r="J162">
        <v>151</v>
      </c>
      <c r="K162">
        <v>207</v>
      </c>
      <c r="L162">
        <v>277</v>
      </c>
      <c r="M162">
        <v>354</v>
      </c>
      <c r="N162">
        <v>436</v>
      </c>
      <c r="O162">
        <v>535</v>
      </c>
      <c r="P162">
        <v>632</v>
      </c>
      <c r="Q162">
        <v>725</v>
      </c>
      <c r="R162">
        <v>813</v>
      </c>
      <c r="S162">
        <v>895</v>
      </c>
      <c r="T162">
        <v>970</v>
      </c>
      <c r="U162">
        <v>1034</v>
      </c>
      <c r="V162">
        <v>1095</v>
      </c>
      <c r="W162">
        <v>1131</v>
      </c>
      <c r="X162">
        <v>1159</v>
      </c>
      <c r="Y162">
        <v>1177</v>
      </c>
      <c r="Z162">
        <v>1219</v>
      </c>
      <c r="AA162">
        <v>1241</v>
      </c>
      <c r="AB162">
        <v>1261</v>
      </c>
      <c r="AC162">
        <v>1294</v>
      </c>
      <c r="AD162">
        <v>1316</v>
      </c>
      <c r="AE162">
        <v>1322</v>
      </c>
      <c r="AF162">
        <v>1328</v>
      </c>
      <c r="AG162">
        <v>1331</v>
      </c>
      <c r="AH162">
        <v>1332</v>
      </c>
      <c r="AI162">
        <v>1333</v>
      </c>
      <c r="AJ162">
        <v>1339</v>
      </c>
      <c r="AK162">
        <v>1342</v>
      </c>
      <c r="AL162">
        <v>1345</v>
      </c>
      <c r="AM162">
        <v>1347</v>
      </c>
      <c r="AN162">
        <v>1347</v>
      </c>
      <c r="AO162">
        <v>1347</v>
      </c>
      <c r="AP162">
        <v>1348</v>
      </c>
      <c r="AQ162">
        <v>1349</v>
      </c>
      <c r="AR162">
        <v>1349</v>
      </c>
      <c r="AS162">
        <v>1350</v>
      </c>
      <c r="AT162">
        <v>1350</v>
      </c>
      <c r="AU162">
        <v>1350</v>
      </c>
      <c r="AV162">
        <v>1351</v>
      </c>
      <c r="AW162">
        <v>1352</v>
      </c>
      <c r="AX162">
        <v>1352</v>
      </c>
      <c r="AY162">
        <v>1352</v>
      </c>
      <c r="AZ162">
        <v>1352</v>
      </c>
      <c r="BA162">
        <v>1353</v>
      </c>
      <c r="BB162">
        <v>1356</v>
      </c>
    </row>
    <row r="163" spans="1:54" hidden="1" x14ac:dyDescent="0.3">
      <c r="A163" t="s">
        <v>168</v>
      </c>
      <c r="B163" t="s">
        <v>163</v>
      </c>
      <c r="C163">
        <v>33.881999999999998</v>
      </c>
      <c r="D163">
        <v>113.614</v>
      </c>
      <c r="E163">
        <v>5</v>
      </c>
      <c r="F163">
        <v>5</v>
      </c>
      <c r="G163">
        <v>9</v>
      </c>
      <c r="H163">
        <v>32</v>
      </c>
      <c r="I163">
        <v>83</v>
      </c>
      <c r="J163">
        <v>128</v>
      </c>
      <c r="K163">
        <v>168</v>
      </c>
      <c r="L163">
        <v>206</v>
      </c>
      <c r="M163">
        <v>278</v>
      </c>
      <c r="N163">
        <v>352</v>
      </c>
      <c r="O163">
        <v>422</v>
      </c>
      <c r="P163">
        <v>493</v>
      </c>
      <c r="Q163">
        <v>566</v>
      </c>
      <c r="R163">
        <v>675</v>
      </c>
      <c r="S163">
        <v>764</v>
      </c>
      <c r="T163">
        <v>851</v>
      </c>
      <c r="U163">
        <v>914</v>
      </c>
      <c r="V163">
        <v>981</v>
      </c>
      <c r="W163">
        <v>1033</v>
      </c>
      <c r="X163">
        <v>1073</v>
      </c>
      <c r="Y163">
        <v>1105</v>
      </c>
      <c r="Z163">
        <v>1135</v>
      </c>
      <c r="AA163">
        <v>1169</v>
      </c>
      <c r="AB163">
        <v>1184</v>
      </c>
      <c r="AC163">
        <v>1212</v>
      </c>
      <c r="AD163">
        <v>1231</v>
      </c>
      <c r="AE163">
        <v>1246</v>
      </c>
      <c r="AF163">
        <v>1257</v>
      </c>
      <c r="AG163">
        <v>1262</v>
      </c>
      <c r="AH163">
        <v>1265</v>
      </c>
      <c r="AI163">
        <v>1267</v>
      </c>
      <c r="AJ163">
        <v>1270</v>
      </c>
      <c r="AK163">
        <v>1271</v>
      </c>
      <c r="AL163">
        <v>1271</v>
      </c>
      <c r="AM163">
        <v>1271</v>
      </c>
      <c r="AN163">
        <v>1271</v>
      </c>
      <c r="AO163">
        <v>1272</v>
      </c>
      <c r="AP163">
        <v>1272</v>
      </c>
      <c r="AQ163">
        <v>1272</v>
      </c>
      <c r="AR163">
        <v>1272</v>
      </c>
      <c r="AS163">
        <v>1272</v>
      </c>
      <c r="AT163">
        <v>1272</v>
      </c>
      <c r="AU163">
        <v>1272</v>
      </c>
      <c r="AV163">
        <v>1272</v>
      </c>
      <c r="AW163">
        <v>1272</v>
      </c>
      <c r="AX163">
        <v>1272</v>
      </c>
      <c r="AY163">
        <v>1272</v>
      </c>
      <c r="AZ163">
        <v>1272</v>
      </c>
      <c r="BA163">
        <v>1272</v>
      </c>
      <c r="BB163">
        <v>1273</v>
      </c>
    </row>
    <row r="164" spans="1:54" hidden="1" x14ac:dyDescent="0.3">
      <c r="A164" t="s">
        <v>169</v>
      </c>
      <c r="B164" t="s">
        <v>163</v>
      </c>
      <c r="C164">
        <v>29.183199999999999</v>
      </c>
      <c r="D164">
        <v>120.0934</v>
      </c>
      <c r="E164">
        <v>10</v>
      </c>
      <c r="F164">
        <v>27</v>
      </c>
      <c r="G164">
        <v>43</v>
      </c>
      <c r="H164">
        <v>62</v>
      </c>
      <c r="I164">
        <v>104</v>
      </c>
      <c r="J164">
        <v>128</v>
      </c>
      <c r="K164">
        <v>173</v>
      </c>
      <c r="L164">
        <v>296</v>
      </c>
      <c r="M164">
        <v>428</v>
      </c>
      <c r="N164">
        <v>538</v>
      </c>
      <c r="O164">
        <v>599</v>
      </c>
      <c r="P164">
        <v>661</v>
      </c>
      <c r="Q164">
        <v>724</v>
      </c>
      <c r="R164">
        <v>829</v>
      </c>
      <c r="S164">
        <v>895</v>
      </c>
      <c r="T164">
        <v>954</v>
      </c>
      <c r="U164">
        <v>1006</v>
      </c>
      <c r="V164">
        <v>1048</v>
      </c>
      <c r="W164">
        <v>1075</v>
      </c>
      <c r="X164">
        <v>1092</v>
      </c>
      <c r="Y164">
        <v>1117</v>
      </c>
      <c r="Z164">
        <v>1131</v>
      </c>
      <c r="AA164">
        <v>1145</v>
      </c>
      <c r="AB164">
        <v>1155</v>
      </c>
      <c r="AC164">
        <v>1162</v>
      </c>
      <c r="AD164">
        <v>1167</v>
      </c>
      <c r="AE164">
        <v>1171</v>
      </c>
      <c r="AF164">
        <v>1172</v>
      </c>
      <c r="AG164">
        <v>1174</v>
      </c>
      <c r="AH164">
        <v>1175</v>
      </c>
      <c r="AI164">
        <v>1203</v>
      </c>
      <c r="AJ164">
        <v>1205</v>
      </c>
      <c r="AK164">
        <v>1205</v>
      </c>
      <c r="AL164">
        <v>1205</v>
      </c>
      <c r="AM164">
        <v>1205</v>
      </c>
      <c r="AN164">
        <v>1205</v>
      </c>
      <c r="AO164">
        <v>1205</v>
      </c>
      <c r="AP164">
        <v>1205</v>
      </c>
      <c r="AQ164">
        <v>1205</v>
      </c>
      <c r="AR164">
        <v>1205</v>
      </c>
      <c r="AS164">
        <v>1206</v>
      </c>
      <c r="AT164">
        <v>1213</v>
      </c>
      <c r="AU164">
        <v>1213</v>
      </c>
      <c r="AV164">
        <v>1215</v>
      </c>
      <c r="AW164">
        <v>1215</v>
      </c>
      <c r="AX164">
        <v>1215</v>
      </c>
      <c r="AY164">
        <v>1215</v>
      </c>
      <c r="AZ164">
        <v>1215</v>
      </c>
      <c r="BA164">
        <v>1215</v>
      </c>
      <c r="BB164">
        <v>1215</v>
      </c>
    </row>
    <row r="165" spans="1:54" hidden="1" x14ac:dyDescent="0.3">
      <c r="A165" t="s">
        <v>170</v>
      </c>
      <c r="B165" t="s">
        <v>163</v>
      </c>
      <c r="C165">
        <v>27.610399999999998</v>
      </c>
      <c r="D165">
        <v>111.7088</v>
      </c>
      <c r="E165">
        <v>4</v>
      </c>
      <c r="F165">
        <v>9</v>
      </c>
      <c r="G165">
        <v>24</v>
      </c>
      <c r="H165">
        <v>43</v>
      </c>
      <c r="I165">
        <v>69</v>
      </c>
      <c r="J165">
        <v>100</v>
      </c>
      <c r="K165">
        <v>143</v>
      </c>
      <c r="L165">
        <v>221</v>
      </c>
      <c r="M165">
        <v>277</v>
      </c>
      <c r="N165">
        <v>332</v>
      </c>
      <c r="O165">
        <v>389</v>
      </c>
      <c r="P165">
        <v>463</v>
      </c>
      <c r="Q165">
        <v>521</v>
      </c>
      <c r="R165">
        <v>593</v>
      </c>
      <c r="S165">
        <v>661</v>
      </c>
      <c r="T165">
        <v>711</v>
      </c>
      <c r="U165">
        <v>772</v>
      </c>
      <c r="V165">
        <v>803</v>
      </c>
      <c r="W165">
        <v>838</v>
      </c>
      <c r="X165">
        <v>879</v>
      </c>
      <c r="Y165">
        <v>912</v>
      </c>
      <c r="Z165">
        <v>946</v>
      </c>
      <c r="AA165">
        <v>968</v>
      </c>
      <c r="AB165">
        <v>988</v>
      </c>
      <c r="AC165">
        <v>1001</v>
      </c>
      <c r="AD165">
        <v>1004</v>
      </c>
      <c r="AE165">
        <v>1006</v>
      </c>
      <c r="AF165">
        <v>1007</v>
      </c>
      <c r="AG165">
        <v>1008</v>
      </c>
      <c r="AH165">
        <v>1010</v>
      </c>
      <c r="AI165">
        <v>1011</v>
      </c>
      <c r="AJ165">
        <v>1013</v>
      </c>
      <c r="AK165">
        <v>1016</v>
      </c>
      <c r="AL165">
        <v>1016</v>
      </c>
      <c r="AM165">
        <v>1016</v>
      </c>
      <c r="AN165">
        <v>1016</v>
      </c>
      <c r="AO165">
        <v>1017</v>
      </c>
      <c r="AP165">
        <v>1017</v>
      </c>
      <c r="AQ165">
        <v>1018</v>
      </c>
      <c r="AR165">
        <v>1018</v>
      </c>
      <c r="AS165">
        <v>1018</v>
      </c>
      <c r="AT165">
        <v>1018</v>
      </c>
      <c r="AU165">
        <v>1018</v>
      </c>
      <c r="AV165">
        <v>1018</v>
      </c>
      <c r="AW165">
        <v>1018</v>
      </c>
      <c r="AX165">
        <v>1018</v>
      </c>
      <c r="AY165">
        <v>1018</v>
      </c>
      <c r="AZ165">
        <v>1018</v>
      </c>
      <c r="BA165">
        <v>1018</v>
      </c>
      <c r="BB165">
        <v>1018</v>
      </c>
    </row>
    <row r="166" spans="1:54" hidden="1" x14ac:dyDescent="0.3">
      <c r="A166" t="s">
        <v>171</v>
      </c>
      <c r="B166" t="s">
        <v>163</v>
      </c>
      <c r="C166">
        <v>31.825700000000001</v>
      </c>
      <c r="D166">
        <v>117.2264</v>
      </c>
      <c r="E166">
        <v>1</v>
      </c>
      <c r="F166">
        <v>9</v>
      </c>
      <c r="G166">
        <v>15</v>
      </c>
      <c r="H166">
        <v>39</v>
      </c>
      <c r="I166">
        <v>60</v>
      </c>
      <c r="J166">
        <v>70</v>
      </c>
      <c r="K166">
        <v>106</v>
      </c>
      <c r="L166">
        <v>152</v>
      </c>
      <c r="M166">
        <v>200</v>
      </c>
      <c r="N166">
        <v>237</v>
      </c>
      <c r="O166">
        <v>297</v>
      </c>
      <c r="P166">
        <v>340</v>
      </c>
      <c r="Q166">
        <v>408</v>
      </c>
      <c r="R166">
        <v>480</v>
      </c>
      <c r="S166">
        <v>530</v>
      </c>
      <c r="T166">
        <v>591</v>
      </c>
      <c r="U166">
        <v>665</v>
      </c>
      <c r="V166">
        <v>733</v>
      </c>
      <c r="W166">
        <v>779</v>
      </c>
      <c r="X166">
        <v>830</v>
      </c>
      <c r="Y166">
        <v>860</v>
      </c>
      <c r="Z166">
        <v>889</v>
      </c>
      <c r="AA166">
        <v>910</v>
      </c>
      <c r="AB166">
        <v>934</v>
      </c>
      <c r="AC166">
        <v>950</v>
      </c>
      <c r="AD166">
        <v>962</v>
      </c>
      <c r="AE166">
        <v>973</v>
      </c>
      <c r="AF166">
        <v>982</v>
      </c>
      <c r="AG166">
        <v>986</v>
      </c>
      <c r="AH166">
        <v>987</v>
      </c>
      <c r="AI166">
        <v>988</v>
      </c>
      <c r="AJ166">
        <v>989</v>
      </c>
      <c r="AK166">
        <v>989</v>
      </c>
      <c r="AL166">
        <v>989</v>
      </c>
      <c r="AM166">
        <v>989</v>
      </c>
      <c r="AN166">
        <v>989</v>
      </c>
      <c r="AO166">
        <v>989</v>
      </c>
      <c r="AP166">
        <v>990</v>
      </c>
      <c r="AQ166">
        <v>990</v>
      </c>
      <c r="AR166">
        <v>990</v>
      </c>
      <c r="AS166">
        <v>990</v>
      </c>
      <c r="AT166">
        <v>990</v>
      </c>
      <c r="AU166">
        <v>990</v>
      </c>
      <c r="AV166">
        <v>990</v>
      </c>
      <c r="AW166">
        <v>990</v>
      </c>
      <c r="AX166">
        <v>990</v>
      </c>
      <c r="AY166">
        <v>990</v>
      </c>
      <c r="AZ166">
        <v>990</v>
      </c>
      <c r="BA166">
        <v>990</v>
      </c>
      <c r="BB166">
        <v>990</v>
      </c>
    </row>
    <row r="167" spans="1:54" hidden="1" x14ac:dyDescent="0.3">
      <c r="A167" t="s">
        <v>172</v>
      </c>
      <c r="B167" t="s">
        <v>163</v>
      </c>
      <c r="C167">
        <v>27.614000000000001</v>
      </c>
      <c r="D167">
        <v>115.7221</v>
      </c>
      <c r="E167">
        <v>2</v>
      </c>
      <c r="F167">
        <v>7</v>
      </c>
      <c r="G167">
        <v>18</v>
      </c>
      <c r="H167">
        <v>18</v>
      </c>
      <c r="I167">
        <v>36</v>
      </c>
      <c r="J167">
        <v>72</v>
      </c>
      <c r="K167">
        <v>109</v>
      </c>
      <c r="L167">
        <v>109</v>
      </c>
      <c r="M167">
        <v>162</v>
      </c>
      <c r="N167">
        <v>240</v>
      </c>
      <c r="O167">
        <v>286</v>
      </c>
      <c r="P167">
        <v>333</v>
      </c>
      <c r="Q167">
        <v>391</v>
      </c>
      <c r="R167">
        <v>476</v>
      </c>
      <c r="S167">
        <v>548</v>
      </c>
      <c r="T167">
        <v>600</v>
      </c>
      <c r="U167">
        <v>661</v>
      </c>
      <c r="V167">
        <v>698</v>
      </c>
      <c r="W167">
        <v>740</v>
      </c>
      <c r="X167">
        <v>771</v>
      </c>
      <c r="Y167">
        <v>804</v>
      </c>
      <c r="Z167">
        <v>844</v>
      </c>
      <c r="AA167">
        <v>872</v>
      </c>
      <c r="AB167">
        <v>900</v>
      </c>
      <c r="AC167">
        <v>913</v>
      </c>
      <c r="AD167">
        <v>925</v>
      </c>
      <c r="AE167">
        <v>930</v>
      </c>
      <c r="AF167">
        <v>933</v>
      </c>
      <c r="AG167">
        <v>934</v>
      </c>
      <c r="AH167">
        <v>934</v>
      </c>
      <c r="AI167">
        <v>934</v>
      </c>
      <c r="AJ167">
        <v>934</v>
      </c>
      <c r="AK167">
        <v>934</v>
      </c>
      <c r="AL167">
        <v>934</v>
      </c>
      <c r="AM167">
        <v>934</v>
      </c>
      <c r="AN167">
        <v>934</v>
      </c>
      <c r="AO167">
        <v>934</v>
      </c>
      <c r="AP167">
        <v>935</v>
      </c>
      <c r="AQ167">
        <v>935</v>
      </c>
      <c r="AR167">
        <v>935</v>
      </c>
      <c r="AS167">
        <v>935</v>
      </c>
      <c r="AT167">
        <v>935</v>
      </c>
      <c r="AU167">
        <v>935</v>
      </c>
      <c r="AV167">
        <v>935</v>
      </c>
      <c r="AW167">
        <v>935</v>
      </c>
      <c r="AX167">
        <v>935</v>
      </c>
      <c r="AY167">
        <v>935</v>
      </c>
      <c r="AZ167">
        <v>935</v>
      </c>
      <c r="BA167">
        <v>935</v>
      </c>
      <c r="BB167">
        <v>935</v>
      </c>
    </row>
    <row r="168" spans="1:54" hidden="1" x14ac:dyDescent="0.3">
      <c r="A168" t="s">
        <v>173</v>
      </c>
      <c r="B168" t="s">
        <v>163</v>
      </c>
      <c r="C168">
        <v>36.342700000000001</v>
      </c>
      <c r="D168">
        <v>118.1498</v>
      </c>
      <c r="E168">
        <v>2</v>
      </c>
      <c r="F168">
        <v>6</v>
      </c>
      <c r="G168">
        <v>15</v>
      </c>
      <c r="H168">
        <v>27</v>
      </c>
      <c r="I168">
        <v>46</v>
      </c>
      <c r="J168">
        <v>75</v>
      </c>
      <c r="K168">
        <v>95</v>
      </c>
      <c r="L168">
        <v>130</v>
      </c>
      <c r="M168">
        <v>158</v>
      </c>
      <c r="N168">
        <v>184</v>
      </c>
      <c r="O168">
        <v>206</v>
      </c>
      <c r="P168">
        <v>230</v>
      </c>
      <c r="Q168">
        <v>259</v>
      </c>
      <c r="R168">
        <v>275</v>
      </c>
      <c r="S168">
        <v>307</v>
      </c>
      <c r="T168">
        <v>347</v>
      </c>
      <c r="U168">
        <v>386</v>
      </c>
      <c r="V168">
        <v>416</v>
      </c>
      <c r="W168">
        <v>444</v>
      </c>
      <c r="X168">
        <v>466</v>
      </c>
      <c r="Y168">
        <v>487</v>
      </c>
      <c r="Z168">
        <v>497</v>
      </c>
      <c r="AA168">
        <v>509</v>
      </c>
      <c r="AB168">
        <v>523</v>
      </c>
      <c r="AC168">
        <v>532</v>
      </c>
      <c r="AD168">
        <v>537</v>
      </c>
      <c r="AE168">
        <v>541</v>
      </c>
      <c r="AF168">
        <v>543</v>
      </c>
      <c r="AG168">
        <v>544</v>
      </c>
      <c r="AH168">
        <v>546</v>
      </c>
      <c r="AI168">
        <v>749</v>
      </c>
      <c r="AJ168">
        <v>750</v>
      </c>
      <c r="AK168">
        <v>754</v>
      </c>
      <c r="AL168">
        <v>755</v>
      </c>
      <c r="AM168">
        <v>756</v>
      </c>
      <c r="AN168">
        <v>756</v>
      </c>
      <c r="AO168">
        <v>756</v>
      </c>
      <c r="AP168">
        <v>756</v>
      </c>
      <c r="AQ168">
        <v>756</v>
      </c>
      <c r="AR168">
        <v>758</v>
      </c>
      <c r="AS168">
        <v>758</v>
      </c>
      <c r="AT168">
        <v>758</v>
      </c>
      <c r="AU168">
        <v>758</v>
      </c>
      <c r="AV168">
        <v>758</v>
      </c>
      <c r="AW168">
        <v>758</v>
      </c>
      <c r="AX168">
        <v>758</v>
      </c>
      <c r="AY168">
        <v>758</v>
      </c>
      <c r="AZ168">
        <v>758</v>
      </c>
      <c r="BA168">
        <v>758</v>
      </c>
      <c r="BB168">
        <v>760</v>
      </c>
    </row>
    <row r="169" spans="1:54" hidden="1" x14ac:dyDescent="0.3">
      <c r="A169" t="s">
        <v>111</v>
      </c>
      <c r="B169" t="s">
        <v>174</v>
      </c>
      <c r="C169">
        <v>35.4437</v>
      </c>
      <c r="D169">
        <v>139.63800000000001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61</v>
      </c>
      <c r="V169">
        <v>61</v>
      </c>
      <c r="W169">
        <v>64</v>
      </c>
      <c r="X169">
        <v>135</v>
      </c>
      <c r="Y169">
        <v>135</v>
      </c>
      <c r="Z169">
        <v>175</v>
      </c>
      <c r="AA169">
        <v>175</v>
      </c>
      <c r="AB169">
        <v>218</v>
      </c>
      <c r="AC169">
        <v>285</v>
      </c>
      <c r="AD169">
        <v>355</v>
      </c>
      <c r="AE169">
        <v>454</v>
      </c>
      <c r="AF169">
        <v>542</v>
      </c>
      <c r="AG169">
        <v>621</v>
      </c>
      <c r="AH169">
        <v>634</v>
      </c>
      <c r="AI169">
        <v>634</v>
      </c>
      <c r="AJ169">
        <v>634</v>
      </c>
      <c r="AK169">
        <v>691</v>
      </c>
      <c r="AL169">
        <v>691</v>
      </c>
      <c r="AM169">
        <v>691</v>
      </c>
      <c r="AN169">
        <v>705</v>
      </c>
      <c r="AO169">
        <v>705</v>
      </c>
      <c r="AP169">
        <v>705</v>
      </c>
      <c r="AQ169">
        <v>705</v>
      </c>
      <c r="AR169">
        <v>705</v>
      </c>
      <c r="AS169">
        <v>705</v>
      </c>
      <c r="AT169">
        <v>706</v>
      </c>
      <c r="AU169">
        <v>706</v>
      </c>
      <c r="AV169">
        <v>706</v>
      </c>
      <c r="AW169">
        <v>696</v>
      </c>
      <c r="AX169">
        <v>696</v>
      </c>
      <c r="AY169">
        <v>696</v>
      </c>
      <c r="AZ169">
        <v>696</v>
      </c>
      <c r="BA169">
        <v>696</v>
      </c>
      <c r="BB169">
        <v>696</v>
      </c>
    </row>
    <row r="170" spans="1:54" hidden="1" x14ac:dyDescent="0.3">
      <c r="A170" t="s">
        <v>175</v>
      </c>
      <c r="B170" t="s">
        <v>163</v>
      </c>
      <c r="C170">
        <v>32.9711</v>
      </c>
      <c r="D170">
        <v>119.455</v>
      </c>
      <c r="E170">
        <v>1</v>
      </c>
      <c r="F170">
        <v>5</v>
      </c>
      <c r="G170">
        <v>9</v>
      </c>
      <c r="H170">
        <v>18</v>
      </c>
      <c r="I170">
        <v>33</v>
      </c>
      <c r="J170">
        <v>47</v>
      </c>
      <c r="K170">
        <v>70</v>
      </c>
      <c r="L170">
        <v>99</v>
      </c>
      <c r="M170">
        <v>129</v>
      </c>
      <c r="N170">
        <v>168</v>
      </c>
      <c r="O170">
        <v>202</v>
      </c>
      <c r="P170">
        <v>236</v>
      </c>
      <c r="Q170">
        <v>271</v>
      </c>
      <c r="R170">
        <v>308</v>
      </c>
      <c r="S170">
        <v>341</v>
      </c>
      <c r="T170">
        <v>373</v>
      </c>
      <c r="U170">
        <v>408</v>
      </c>
      <c r="V170">
        <v>439</v>
      </c>
      <c r="W170">
        <v>468</v>
      </c>
      <c r="X170">
        <v>492</v>
      </c>
      <c r="Y170">
        <v>515</v>
      </c>
      <c r="Z170">
        <v>543</v>
      </c>
      <c r="AA170">
        <v>570</v>
      </c>
      <c r="AB170">
        <v>593</v>
      </c>
      <c r="AC170">
        <v>604</v>
      </c>
      <c r="AD170">
        <v>617</v>
      </c>
      <c r="AE170">
        <v>626</v>
      </c>
      <c r="AF170">
        <v>629</v>
      </c>
      <c r="AG170">
        <v>631</v>
      </c>
      <c r="AH170">
        <v>631</v>
      </c>
      <c r="AI170">
        <v>631</v>
      </c>
      <c r="AJ170">
        <v>631</v>
      </c>
      <c r="AK170">
        <v>631</v>
      </c>
      <c r="AL170">
        <v>631</v>
      </c>
      <c r="AM170">
        <v>631</v>
      </c>
      <c r="AN170">
        <v>631</v>
      </c>
      <c r="AO170">
        <v>631</v>
      </c>
      <c r="AP170">
        <v>631</v>
      </c>
      <c r="AQ170">
        <v>631</v>
      </c>
      <c r="AR170">
        <v>631</v>
      </c>
      <c r="AS170">
        <v>631</v>
      </c>
      <c r="AT170">
        <v>631</v>
      </c>
      <c r="AU170">
        <v>631</v>
      </c>
      <c r="AV170">
        <v>631</v>
      </c>
      <c r="AW170">
        <v>631</v>
      </c>
      <c r="AX170">
        <v>631</v>
      </c>
      <c r="AY170">
        <v>631</v>
      </c>
      <c r="AZ170">
        <v>631</v>
      </c>
      <c r="BA170">
        <v>631</v>
      </c>
      <c r="BB170">
        <v>631</v>
      </c>
    </row>
    <row r="171" spans="1:54" hidden="1" x14ac:dyDescent="0.3">
      <c r="A171" t="s">
        <v>176</v>
      </c>
      <c r="B171" t="s">
        <v>163</v>
      </c>
      <c r="C171">
        <v>30.057200000000002</v>
      </c>
      <c r="D171">
        <v>107.874</v>
      </c>
      <c r="E171">
        <v>6</v>
      </c>
      <c r="F171">
        <v>9</v>
      </c>
      <c r="G171">
        <v>27</v>
      </c>
      <c r="H171">
        <v>57</v>
      </c>
      <c r="I171">
        <v>75</v>
      </c>
      <c r="J171">
        <v>110</v>
      </c>
      <c r="K171">
        <v>132</v>
      </c>
      <c r="L171">
        <v>147</v>
      </c>
      <c r="M171">
        <v>182</v>
      </c>
      <c r="N171">
        <v>211</v>
      </c>
      <c r="O171">
        <v>247</v>
      </c>
      <c r="P171">
        <v>300</v>
      </c>
      <c r="Q171">
        <v>337</v>
      </c>
      <c r="R171">
        <v>366</v>
      </c>
      <c r="S171">
        <v>389</v>
      </c>
      <c r="T171">
        <v>411</v>
      </c>
      <c r="U171">
        <v>426</v>
      </c>
      <c r="V171">
        <v>428</v>
      </c>
      <c r="W171">
        <v>468</v>
      </c>
      <c r="X171">
        <v>486</v>
      </c>
      <c r="Y171">
        <v>505</v>
      </c>
      <c r="Z171">
        <v>518</v>
      </c>
      <c r="AA171">
        <v>529</v>
      </c>
      <c r="AB171">
        <v>537</v>
      </c>
      <c r="AC171">
        <v>544</v>
      </c>
      <c r="AD171">
        <v>551</v>
      </c>
      <c r="AE171">
        <v>553</v>
      </c>
      <c r="AF171">
        <v>555</v>
      </c>
      <c r="AG171">
        <v>560</v>
      </c>
      <c r="AH171">
        <v>567</v>
      </c>
      <c r="AI171">
        <v>572</v>
      </c>
      <c r="AJ171">
        <v>573</v>
      </c>
      <c r="AK171">
        <v>575</v>
      </c>
      <c r="AL171">
        <v>576</v>
      </c>
      <c r="AM171">
        <v>576</v>
      </c>
      <c r="AN171">
        <v>576</v>
      </c>
      <c r="AO171">
        <v>576</v>
      </c>
      <c r="AP171">
        <v>576</v>
      </c>
      <c r="AQ171">
        <v>576</v>
      </c>
      <c r="AR171">
        <v>576</v>
      </c>
      <c r="AS171">
        <v>576</v>
      </c>
      <c r="AT171">
        <v>576</v>
      </c>
      <c r="AU171">
        <v>576</v>
      </c>
      <c r="AV171">
        <v>576</v>
      </c>
      <c r="AW171">
        <v>576</v>
      </c>
      <c r="AX171">
        <v>576</v>
      </c>
      <c r="AY171">
        <v>576</v>
      </c>
      <c r="AZ171">
        <v>576</v>
      </c>
      <c r="BA171">
        <v>576</v>
      </c>
      <c r="BB171">
        <v>576</v>
      </c>
    </row>
    <row r="172" spans="1:54" hidden="1" x14ac:dyDescent="0.3">
      <c r="A172" t="s">
        <v>177</v>
      </c>
      <c r="B172" t="s">
        <v>163</v>
      </c>
      <c r="C172">
        <v>30.617100000000001</v>
      </c>
      <c r="D172">
        <v>102.7103</v>
      </c>
      <c r="E172">
        <v>5</v>
      </c>
      <c r="F172">
        <v>8</v>
      </c>
      <c r="G172">
        <v>15</v>
      </c>
      <c r="H172">
        <v>28</v>
      </c>
      <c r="I172">
        <v>44</v>
      </c>
      <c r="J172">
        <v>69</v>
      </c>
      <c r="K172">
        <v>90</v>
      </c>
      <c r="L172">
        <v>108</v>
      </c>
      <c r="M172">
        <v>142</v>
      </c>
      <c r="N172">
        <v>177</v>
      </c>
      <c r="O172">
        <v>207</v>
      </c>
      <c r="P172">
        <v>231</v>
      </c>
      <c r="Q172">
        <v>254</v>
      </c>
      <c r="R172">
        <v>282</v>
      </c>
      <c r="S172">
        <v>301</v>
      </c>
      <c r="T172">
        <v>321</v>
      </c>
      <c r="U172">
        <v>344</v>
      </c>
      <c r="V172">
        <v>364</v>
      </c>
      <c r="W172">
        <v>386</v>
      </c>
      <c r="X172">
        <v>405</v>
      </c>
      <c r="Y172">
        <v>417</v>
      </c>
      <c r="Z172">
        <v>436</v>
      </c>
      <c r="AA172">
        <v>451</v>
      </c>
      <c r="AB172">
        <v>463</v>
      </c>
      <c r="AC172">
        <v>470</v>
      </c>
      <c r="AD172">
        <v>481</v>
      </c>
      <c r="AE172">
        <v>495</v>
      </c>
      <c r="AF172">
        <v>508</v>
      </c>
      <c r="AG172">
        <v>514</v>
      </c>
      <c r="AH172">
        <v>520</v>
      </c>
      <c r="AI172">
        <v>525</v>
      </c>
      <c r="AJ172">
        <v>526</v>
      </c>
      <c r="AK172">
        <v>526</v>
      </c>
      <c r="AL172">
        <v>527</v>
      </c>
      <c r="AM172">
        <v>529</v>
      </c>
      <c r="AN172">
        <v>531</v>
      </c>
      <c r="AO172">
        <v>534</v>
      </c>
      <c r="AP172">
        <v>538</v>
      </c>
      <c r="AQ172">
        <v>538</v>
      </c>
      <c r="AR172">
        <v>538</v>
      </c>
      <c r="AS172">
        <v>538</v>
      </c>
      <c r="AT172">
        <v>538</v>
      </c>
      <c r="AU172">
        <v>538</v>
      </c>
      <c r="AV172">
        <v>539</v>
      </c>
      <c r="AW172">
        <v>539</v>
      </c>
      <c r="AX172">
        <v>539</v>
      </c>
      <c r="AY172">
        <v>539</v>
      </c>
      <c r="AZ172">
        <v>539</v>
      </c>
      <c r="BA172">
        <v>539</v>
      </c>
      <c r="BB172">
        <v>539</v>
      </c>
    </row>
    <row r="173" spans="1:54" hidden="1" x14ac:dyDescent="0.3">
      <c r="A173" t="s">
        <v>178</v>
      </c>
      <c r="B173" t="s">
        <v>163</v>
      </c>
      <c r="C173">
        <v>47.862000000000002</v>
      </c>
      <c r="D173">
        <v>127.7615</v>
      </c>
      <c r="E173">
        <v>0</v>
      </c>
      <c r="F173">
        <v>2</v>
      </c>
      <c r="G173">
        <v>4</v>
      </c>
      <c r="H173">
        <v>9</v>
      </c>
      <c r="I173">
        <v>15</v>
      </c>
      <c r="J173">
        <v>21</v>
      </c>
      <c r="K173">
        <v>33</v>
      </c>
      <c r="L173">
        <v>38</v>
      </c>
      <c r="M173">
        <v>44</v>
      </c>
      <c r="N173">
        <v>59</v>
      </c>
      <c r="O173">
        <v>80</v>
      </c>
      <c r="P173">
        <v>95</v>
      </c>
      <c r="Q173">
        <v>121</v>
      </c>
      <c r="R173">
        <v>155</v>
      </c>
      <c r="S173">
        <v>190</v>
      </c>
      <c r="T173">
        <v>227</v>
      </c>
      <c r="U173">
        <v>277</v>
      </c>
      <c r="V173">
        <v>295</v>
      </c>
      <c r="W173">
        <v>307</v>
      </c>
      <c r="X173">
        <v>331</v>
      </c>
      <c r="Y173">
        <v>360</v>
      </c>
      <c r="Z173">
        <v>378</v>
      </c>
      <c r="AA173">
        <v>395</v>
      </c>
      <c r="AB173">
        <v>419</v>
      </c>
      <c r="AC173">
        <v>425</v>
      </c>
      <c r="AD173">
        <v>445</v>
      </c>
      <c r="AE173">
        <v>457</v>
      </c>
      <c r="AF173">
        <v>464</v>
      </c>
      <c r="AG173">
        <v>470</v>
      </c>
      <c r="AH173">
        <v>476</v>
      </c>
      <c r="AI173">
        <v>479</v>
      </c>
      <c r="AJ173">
        <v>479</v>
      </c>
      <c r="AK173">
        <v>480</v>
      </c>
      <c r="AL173">
        <v>480</v>
      </c>
      <c r="AM173">
        <v>480</v>
      </c>
      <c r="AN173">
        <v>480</v>
      </c>
      <c r="AO173">
        <v>480</v>
      </c>
      <c r="AP173">
        <v>480</v>
      </c>
      <c r="AQ173">
        <v>480</v>
      </c>
      <c r="AR173">
        <v>480</v>
      </c>
      <c r="AS173">
        <v>480</v>
      </c>
      <c r="AT173">
        <v>480</v>
      </c>
      <c r="AU173">
        <v>480</v>
      </c>
      <c r="AV173">
        <v>481</v>
      </c>
      <c r="AW173">
        <v>481</v>
      </c>
      <c r="AX173">
        <v>481</v>
      </c>
      <c r="AY173">
        <v>481</v>
      </c>
      <c r="AZ173">
        <v>481</v>
      </c>
      <c r="BA173">
        <v>481</v>
      </c>
      <c r="BB173">
        <v>482</v>
      </c>
    </row>
    <row r="174" spans="1:54" hidden="1" x14ac:dyDescent="0.3">
      <c r="A174" t="s">
        <v>179</v>
      </c>
      <c r="B174" t="s">
        <v>180</v>
      </c>
      <c r="C174">
        <v>55.378100000000003</v>
      </c>
      <c r="D174">
        <v>-3.4359999999999999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</v>
      </c>
      <c r="O174">
        <v>2</v>
      </c>
      <c r="P174">
        <v>2</v>
      </c>
      <c r="Q174">
        <v>2</v>
      </c>
      <c r="R174">
        <v>2</v>
      </c>
      <c r="S174">
        <v>2</v>
      </c>
      <c r="T174">
        <v>2</v>
      </c>
      <c r="U174">
        <v>3</v>
      </c>
      <c r="V174">
        <v>3</v>
      </c>
      <c r="W174">
        <v>3</v>
      </c>
      <c r="X174">
        <v>8</v>
      </c>
      <c r="Y174">
        <v>8</v>
      </c>
      <c r="Z174">
        <v>9</v>
      </c>
      <c r="AA174">
        <v>9</v>
      </c>
      <c r="AB174">
        <v>9</v>
      </c>
      <c r="AC174">
        <v>9</v>
      </c>
      <c r="AD174">
        <v>9</v>
      </c>
      <c r="AE174">
        <v>9</v>
      </c>
      <c r="AF174">
        <v>9</v>
      </c>
      <c r="AG174">
        <v>9</v>
      </c>
      <c r="AH174">
        <v>9</v>
      </c>
      <c r="AI174">
        <v>9</v>
      </c>
      <c r="AJ174">
        <v>9</v>
      </c>
      <c r="AK174">
        <v>9</v>
      </c>
      <c r="AL174">
        <v>13</v>
      </c>
      <c r="AM174">
        <v>13</v>
      </c>
      <c r="AN174">
        <v>13</v>
      </c>
      <c r="AO174">
        <v>15</v>
      </c>
      <c r="AP174">
        <v>20</v>
      </c>
      <c r="AQ174">
        <v>23</v>
      </c>
      <c r="AR174">
        <v>36</v>
      </c>
      <c r="AS174">
        <v>40</v>
      </c>
      <c r="AT174">
        <v>51</v>
      </c>
      <c r="AU174">
        <v>85</v>
      </c>
      <c r="AV174">
        <v>115</v>
      </c>
      <c r="AW174">
        <v>163</v>
      </c>
      <c r="AX174">
        <v>206</v>
      </c>
      <c r="AY174">
        <v>273</v>
      </c>
      <c r="AZ174">
        <v>321</v>
      </c>
      <c r="BA174">
        <v>382</v>
      </c>
      <c r="BB174">
        <v>456</v>
      </c>
    </row>
    <row r="175" spans="1:54" hidden="1" x14ac:dyDescent="0.3">
      <c r="A175" t="s">
        <v>181</v>
      </c>
      <c r="B175" t="s">
        <v>181</v>
      </c>
      <c r="C175">
        <v>56.2639</v>
      </c>
      <c r="D175">
        <v>9.5017999999999994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1</v>
      </c>
      <c r="AQ175">
        <v>3</v>
      </c>
      <c r="AR175">
        <v>4</v>
      </c>
      <c r="AS175">
        <v>4</v>
      </c>
      <c r="AT175">
        <v>6</v>
      </c>
      <c r="AU175">
        <v>10</v>
      </c>
      <c r="AV175">
        <v>10</v>
      </c>
      <c r="AW175">
        <v>23</v>
      </c>
      <c r="AX175">
        <v>23</v>
      </c>
      <c r="AY175">
        <v>35</v>
      </c>
      <c r="AZ175">
        <v>90</v>
      </c>
      <c r="BA175">
        <v>262</v>
      </c>
      <c r="BB175">
        <v>442</v>
      </c>
    </row>
    <row r="176" spans="1:54" hidden="1" x14ac:dyDescent="0.3">
      <c r="A176" t="s">
        <v>182</v>
      </c>
      <c r="B176" t="s">
        <v>163</v>
      </c>
      <c r="C176">
        <v>40.182400000000001</v>
      </c>
      <c r="D176">
        <v>116.41419999999999</v>
      </c>
      <c r="E176">
        <v>14</v>
      </c>
      <c r="F176">
        <v>22</v>
      </c>
      <c r="G176">
        <v>36</v>
      </c>
      <c r="H176">
        <v>41</v>
      </c>
      <c r="I176">
        <v>68</v>
      </c>
      <c r="J176">
        <v>80</v>
      </c>
      <c r="K176">
        <v>91</v>
      </c>
      <c r="L176">
        <v>111</v>
      </c>
      <c r="M176">
        <v>114</v>
      </c>
      <c r="N176">
        <v>139</v>
      </c>
      <c r="O176">
        <v>168</v>
      </c>
      <c r="P176">
        <v>191</v>
      </c>
      <c r="Q176">
        <v>212</v>
      </c>
      <c r="R176">
        <v>228</v>
      </c>
      <c r="S176">
        <v>253</v>
      </c>
      <c r="T176">
        <v>274</v>
      </c>
      <c r="U176">
        <v>297</v>
      </c>
      <c r="V176">
        <v>315</v>
      </c>
      <c r="W176">
        <v>326</v>
      </c>
      <c r="X176">
        <v>337</v>
      </c>
      <c r="Y176">
        <v>342</v>
      </c>
      <c r="Z176">
        <v>352</v>
      </c>
      <c r="AA176">
        <v>366</v>
      </c>
      <c r="AB176">
        <v>372</v>
      </c>
      <c r="AC176">
        <v>375</v>
      </c>
      <c r="AD176">
        <v>380</v>
      </c>
      <c r="AE176">
        <v>381</v>
      </c>
      <c r="AF176">
        <v>387</v>
      </c>
      <c r="AG176">
        <v>393</v>
      </c>
      <c r="AH176">
        <v>395</v>
      </c>
      <c r="AI176">
        <v>396</v>
      </c>
      <c r="AJ176">
        <v>399</v>
      </c>
      <c r="AK176">
        <v>399</v>
      </c>
      <c r="AL176">
        <v>399</v>
      </c>
      <c r="AM176">
        <v>400</v>
      </c>
      <c r="AN176">
        <v>400</v>
      </c>
      <c r="AO176">
        <v>410</v>
      </c>
      <c r="AP176">
        <v>410</v>
      </c>
      <c r="AQ176">
        <v>411</v>
      </c>
      <c r="AR176">
        <v>413</v>
      </c>
      <c r="AS176">
        <v>414</v>
      </c>
      <c r="AT176">
        <v>414</v>
      </c>
      <c r="AU176">
        <v>418</v>
      </c>
      <c r="AV176">
        <v>418</v>
      </c>
      <c r="AW176">
        <v>422</v>
      </c>
      <c r="AX176">
        <v>426</v>
      </c>
      <c r="AY176">
        <v>428</v>
      </c>
      <c r="AZ176">
        <v>428</v>
      </c>
      <c r="BA176">
        <v>429</v>
      </c>
      <c r="BB176">
        <v>435</v>
      </c>
    </row>
    <row r="177" spans="1:54" hidden="1" x14ac:dyDescent="0.3">
      <c r="A177" t="s">
        <v>183</v>
      </c>
      <c r="B177" t="s">
        <v>163</v>
      </c>
      <c r="C177">
        <v>31.202000000000002</v>
      </c>
      <c r="D177">
        <v>121.4491</v>
      </c>
      <c r="E177">
        <v>9</v>
      </c>
      <c r="F177">
        <v>16</v>
      </c>
      <c r="G177">
        <v>20</v>
      </c>
      <c r="H177">
        <v>33</v>
      </c>
      <c r="I177">
        <v>40</v>
      </c>
      <c r="J177">
        <v>53</v>
      </c>
      <c r="K177">
        <v>66</v>
      </c>
      <c r="L177">
        <v>96</v>
      </c>
      <c r="M177">
        <v>112</v>
      </c>
      <c r="N177">
        <v>135</v>
      </c>
      <c r="O177">
        <v>169</v>
      </c>
      <c r="P177">
        <v>182</v>
      </c>
      <c r="Q177">
        <v>203</v>
      </c>
      <c r="R177">
        <v>219</v>
      </c>
      <c r="S177">
        <v>243</v>
      </c>
      <c r="T177">
        <v>257</v>
      </c>
      <c r="U177">
        <v>277</v>
      </c>
      <c r="V177">
        <v>286</v>
      </c>
      <c r="W177">
        <v>293</v>
      </c>
      <c r="X177">
        <v>299</v>
      </c>
      <c r="Y177">
        <v>303</v>
      </c>
      <c r="Z177">
        <v>311</v>
      </c>
      <c r="AA177">
        <v>315</v>
      </c>
      <c r="AB177">
        <v>318</v>
      </c>
      <c r="AC177">
        <v>326</v>
      </c>
      <c r="AD177">
        <v>328</v>
      </c>
      <c r="AE177">
        <v>333</v>
      </c>
      <c r="AF177">
        <v>333</v>
      </c>
      <c r="AG177">
        <v>333</v>
      </c>
      <c r="AH177">
        <v>334</v>
      </c>
      <c r="AI177">
        <v>334</v>
      </c>
      <c r="AJ177">
        <v>335</v>
      </c>
      <c r="AK177">
        <v>335</v>
      </c>
      <c r="AL177">
        <v>335</v>
      </c>
      <c r="AM177">
        <v>336</v>
      </c>
      <c r="AN177">
        <v>337</v>
      </c>
      <c r="AO177">
        <v>337</v>
      </c>
      <c r="AP177">
        <v>337</v>
      </c>
      <c r="AQ177">
        <v>337</v>
      </c>
      <c r="AR177">
        <v>337</v>
      </c>
      <c r="AS177">
        <v>337</v>
      </c>
      <c r="AT177">
        <v>338</v>
      </c>
      <c r="AU177">
        <v>338</v>
      </c>
      <c r="AV177">
        <v>339</v>
      </c>
      <c r="AW177">
        <v>342</v>
      </c>
      <c r="AX177">
        <v>342</v>
      </c>
      <c r="AY177">
        <v>342</v>
      </c>
      <c r="AZ177">
        <v>342</v>
      </c>
      <c r="BA177">
        <v>344</v>
      </c>
      <c r="BB177">
        <v>344</v>
      </c>
    </row>
    <row r="178" spans="1:54" hidden="1" x14ac:dyDescent="0.3">
      <c r="A178" t="s">
        <v>184</v>
      </c>
      <c r="B178" t="s">
        <v>163</v>
      </c>
      <c r="C178">
        <v>39.548999999999999</v>
      </c>
      <c r="D178">
        <v>116.1306</v>
      </c>
      <c r="E178">
        <v>1</v>
      </c>
      <c r="F178">
        <v>1</v>
      </c>
      <c r="G178">
        <v>2</v>
      </c>
      <c r="H178">
        <v>8</v>
      </c>
      <c r="I178">
        <v>13</v>
      </c>
      <c r="J178">
        <v>18</v>
      </c>
      <c r="K178">
        <v>33</v>
      </c>
      <c r="L178">
        <v>48</v>
      </c>
      <c r="M178">
        <v>65</v>
      </c>
      <c r="N178">
        <v>82</v>
      </c>
      <c r="O178">
        <v>96</v>
      </c>
      <c r="P178">
        <v>104</v>
      </c>
      <c r="Q178">
        <v>113</v>
      </c>
      <c r="R178">
        <v>126</v>
      </c>
      <c r="S178">
        <v>135</v>
      </c>
      <c r="T178">
        <v>157</v>
      </c>
      <c r="U178">
        <v>172</v>
      </c>
      <c r="V178">
        <v>195</v>
      </c>
      <c r="W178">
        <v>206</v>
      </c>
      <c r="X178">
        <v>218</v>
      </c>
      <c r="Y178">
        <v>239</v>
      </c>
      <c r="Z178">
        <v>251</v>
      </c>
      <c r="AA178">
        <v>265</v>
      </c>
      <c r="AB178">
        <v>283</v>
      </c>
      <c r="AC178">
        <v>291</v>
      </c>
      <c r="AD178">
        <v>300</v>
      </c>
      <c r="AE178">
        <v>301</v>
      </c>
      <c r="AF178">
        <v>306</v>
      </c>
      <c r="AG178">
        <v>306</v>
      </c>
      <c r="AH178">
        <v>307</v>
      </c>
      <c r="AI178">
        <v>308</v>
      </c>
      <c r="AJ178">
        <v>309</v>
      </c>
      <c r="AK178">
        <v>311</v>
      </c>
      <c r="AL178">
        <v>311</v>
      </c>
      <c r="AM178">
        <v>311</v>
      </c>
      <c r="AN178">
        <v>312</v>
      </c>
      <c r="AO178">
        <v>317</v>
      </c>
      <c r="AP178">
        <v>318</v>
      </c>
      <c r="AQ178">
        <v>318</v>
      </c>
      <c r="AR178">
        <v>318</v>
      </c>
      <c r="AS178">
        <v>318</v>
      </c>
      <c r="AT178">
        <v>318</v>
      </c>
      <c r="AU178">
        <v>318</v>
      </c>
      <c r="AV178">
        <v>318</v>
      </c>
      <c r="AW178">
        <v>318</v>
      </c>
      <c r="AX178">
        <v>318</v>
      </c>
      <c r="AY178">
        <v>318</v>
      </c>
      <c r="AZ178">
        <v>318</v>
      </c>
      <c r="BA178">
        <v>318</v>
      </c>
      <c r="BB178">
        <v>318</v>
      </c>
    </row>
    <row r="179" spans="1:54" hidden="1" x14ac:dyDescent="0.3">
      <c r="A179" t="s">
        <v>185</v>
      </c>
      <c r="B179" t="s">
        <v>163</v>
      </c>
      <c r="C179">
        <v>26.078900000000001</v>
      </c>
      <c r="D179">
        <v>117.98739999999999</v>
      </c>
      <c r="E179">
        <v>1</v>
      </c>
      <c r="F179">
        <v>5</v>
      </c>
      <c r="G179">
        <v>10</v>
      </c>
      <c r="H179">
        <v>18</v>
      </c>
      <c r="I179">
        <v>35</v>
      </c>
      <c r="J179">
        <v>59</v>
      </c>
      <c r="K179">
        <v>80</v>
      </c>
      <c r="L179">
        <v>84</v>
      </c>
      <c r="M179">
        <v>101</v>
      </c>
      <c r="N179">
        <v>120</v>
      </c>
      <c r="O179">
        <v>144</v>
      </c>
      <c r="P179">
        <v>159</v>
      </c>
      <c r="Q179">
        <v>179</v>
      </c>
      <c r="R179">
        <v>194</v>
      </c>
      <c r="S179">
        <v>205</v>
      </c>
      <c r="T179">
        <v>215</v>
      </c>
      <c r="U179">
        <v>224</v>
      </c>
      <c r="V179">
        <v>239</v>
      </c>
      <c r="W179">
        <v>250</v>
      </c>
      <c r="X179">
        <v>261</v>
      </c>
      <c r="Y179">
        <v>267</v>
      </c>
      <c r="Z179">
        <v>272</v>
      </c>
      <c r="AA179">
        <v>279</v>
      </c>
      <c r="AB179">
        <v>281</v>
      </c>
      <c r="AC179">
        <v>285</v>
      </c>
      <c r="AD179">
        <v>287</v>
      </c>
      <c r="AE179">
        <v>290</v>
      </c>
      <c r="AF179">
        <v>292</v>
      </c>
      <c r="AG179">
        <v>293</v>
      </c>
      <c r="AH179">
        <v>293</v>
      </c>
      <c r="AI179">
        <v>293</v>
      </c>
      <c r="AJ179">
        <v>293</v>
      </c>
      <c r="AK179">
        <v>293</v>
      </c>
      <c r="AL179">
        <v>293</v>
      </c>
      <c r="AM179">
        <v>294</v>
      </c>
      <c r="AN179">
        <v>294</v>
      </c>
      <c r="AO179">
        <v>296</v>
      </c>
      <c r="AP179">
        <v>296</v>
      </c>
      <c r="AQ179">
        <v>296</v>
      </c>
      <c r="AR179">
        <v>296</v>
      </c>
      <c r="AS179">
        <v>296</v>
      </c>
      <c r="AT179">
        <v>296</v>
      </c>
      <c r="AU179">
        <v>296</v>
      </c>
      <c r="AV179">
        <v>296</v>
      </c>
      <c r="AW179">
        <v>296</v>
      </c>
      <c r="AX179">
        <v>296</v>
      </c>
      <c r="AY179">
        <v>296</v>
      </c>
      <c r="AZ179">
        <v>296</v>
      </c>
      <c r="BA179">
        <v>296</v>
      </c>
      <c r="BB179">
        <v>296</v>
      </c>
    </row>
    <row r="180" spans="1:54" hidden="1" x14ac:dyDescent="0.3">
      <c r="A180" t="s">
        <v>186</v>
      </c>
      <c r="B180" t="s">
        <v>163</v>
      </c>
      <c r="C180">
        <v>23.829799999999999</v>
      </c>
      <c r="D180">
        <v>108.7881</v>
      </c>
      <c r="E180">
        <v>2</v>
      </c>
      <c r="F180">
        <v>5</v>
      </c>
      <c r="G180">
        <v>23</v>
      </c>
      <c r="H180">
        <v>23</v>
      </c>
      <c r="I180">
        <v>36</v>
      </c>
      <c r="J180">
        <v>46</v>
      </c>
      <c r="K180">
        <v>51</v>
      </c>
      <c r="L180">
        <v>58</v>
      </c>
      <c r="M180">
        <v>78</v>
      </c>
      <c r="N180">
        <v>87</v>
      </c>
      <c r="O180">
        <v>100</v>
      </c>
      <c r="P180">
        <v>111</v>
      </c>
      <c r="Q180">
        <v>127</v>
      </c>
      <c r="R180">
        <v>139</v>
      </c>
      <c r="S180">
        <v>150</v>
      </c>
      <c r="T180">
        <v>168</v>
      </c>
      <c r="U180">
        <v>172</v>
      </c>
      <c r="V180">
        <v>183</v>
      </c>
      <c r="W180">
        <v>195</v>
      </c>
      <c r="X180">
        <v>210</v>
      </c>
      <c r="Y180">
        <v>215</v>
      </c>
      <c r="Z180">
        <v>222</v>
      </c>
      <c r="AA180">
        <v>222</v>
      </c>
      <c r="AB180">
        <v>226</v>
      </c>
      <c r="AC180">
        <v>235</v>
      </c>
      <c r="AD180">
        <v>237</v>
      </c>
      <c r="AE180">
        <v>238</v>
      </c>
      <c r="AF180">
        <v>242</v>
      </c>
      <c r="AG180">
        <v>244</v>
      </c>
      <c r="AH180">
        <v>245</v>
      </c>
      <c r="AI180">
        <v>246</v>
      </c>
      <c r="AJ180">
        <v>249</v>
      </c>
      <c r="AK180">
        <v>249</v>
      </c>
      <c r="AL180">
        <v>251</v>
      </c>
      <c r="AM180">
        <v>252</v>
      </c>
      <c r="AN180">
        <v>252</v>
      </c>
      <c r="AO180">
        <v>252</v>
      </c>
      <c r="AP180">
        <v>252</v>
      </c>
      <c r="AQ180">
        <v>252</v>
      </c>
      <c r="AR180">
        <v>252</v>
      </c>
      <c r="AS180">
        <v>252</v>
      </c>
      <c r="AT180">
        <v>252</v>
      </c>
      <c r="AU180">
        <v>252</v>
      </c>
      <c r="AV180">
        <v>252</v>
      </c>
      <c r="AW180">
        <v>252</v>
      </c>
      <c r="AX180">
        <v>252</v>
      </c>
      <c r="AY180">
        <v>252</v>
      </c>
      <c r="AZ180">
        <v>252</v>
      </c>
      <c r="BA180">
        <v>252</v>
      </c>
      <c r="BB180">
        <v>252</v>
      </c>
    </row>
    <row r="181" spans="1:54" hidden="1" x14ac:dyDescent="0.3">
      <c r="A181" t="s">
        <v>187</v>
      </c>
      <c r="B181" t="s">
        <v>163</v>
      </c>
      <c r="C181">
        <v>35.191699999999997</v>
      </c>
      <c r="D181">
        <v>108.87009999999999</v>
      </c>
      <c r="E181">
        <v>0</v>
      </c>
      <c r="F181">
        <v>3</v>
      </c>
      <c r="G181">
        <v>5</v>
      </c>
      <c r="H181">
        <v>15</v>
      </c>
      <c r="I181">
        <v>22</v>
      </c>
      <c r="J181">
        <v>35</v>
      </c>
      <c r="K181">
        <v>46</v>
      </c>
      <c r="L181">
        <v>56</v>
      </c>
      <c r="M181">
        <v>63</v>
      </c>
      <c r="N181">
        <v>87</v>
      </c>
      <c r="O181">
        <v>101</v>
      </c>
      <c r="P181">
        <v>116</v>
      </c>
      <c r="Q181">
        <v>128</v>
      </c>
      <c r="R181">
        <v>142</v>
      </c>
      <c r="S181">
        <v>165</v>
      </c>
      <c r="T181">
        <v>173</v>
      </c>
      <c r="U181">
        <v>184</v>
      </c>
      <c r="V181">
        <v>195</v>
      </c>
      <c r="W181">
        <v>208</v>
      </c>
      <c r="X181">
        <v>213</v>
      </c>
      <c r="Y181">
        <v>219</v>
      </c>
      <c r="Z181">
        <v>225</v>
      </c>
      <c r="AA181">
        <v>229</v>
      </c>
      <c r="AB181">
        <v>230</v>
      </c>
      <c r="AC181">
        <v>232</v>
      </c>
      <c r="AD181">
        <v>236</v>
      </c>
      <c r="AE181">
        <v>240</v>
      </c>
      <c r="AF181">
        <v>240</v>
      </c>
      <c r="AG181">
        <v>242</v>
      </c>
      <c r="AH181">
        <v>245</v>
      </c>
      <c r="AI181">
        <v>245</v>
      </c>
      <c r="AJ181">
        <v>245</v>
      </c>
      <c r="AK181">
        <v>245</v>
      </c>
      <c r="AL181">
        <v>245</v>
      </c>
      <c r="AM181">
        <v>245</v>
      </c>
      <c r="AN181">
        <v>245</v>
      </c>
      <c r="AO181">
        <v>245</v>
      </c>
      <c r="AP181">
        <v>245</v>
      </c>
      <c r="AQ181">
        <v>245</v>
      </c>
      <c r="AR181">
        <v>245</v>
      </c>
      <c r="AS181">
        <v>245</v>
      </c>
      <c r="AT181">
        <v>245</v>
      </c>
      <c r="AU181">
        <v>245</v>
      </c>
      <c r="AV181">
        <v>245</v>
      </c>
      <c r="AW181">
        <v>245</v>
      </c>
      <c r="AX181">
        <v>245</v>
      </c>
      <c r="AY181">
        <v>245</v>
      </c>
      <c r="AZ181">
        <v>245</v>
      </c>
      <c r="BA181">
        <v>245</v>
      </c>
      <c r="BB181">
        <v>245</v>
      </c>
    </row>
    <row r="182" spans="1:54" hidden="1" x14ac:dyDescent="0.3">
      <c r="A182" t="s">
        <v>188</v>
      </c>
      <c r="B182" t="s">
        <v>163</v>
      </c>
      <c r="C182">
        <v>24.974</v>
      </c>
      <c r="D182">
        <v>101.48699999999999</v>
      </c>
      <c r="E182">
        <v>1</v>
      </c>
      <c r="F182">
        <v>2</v>
      </c>
      <c r="G182">
        <v>5</v>
      </c>
      <c r="H182">
        <v>11</v>
      </c>
      <c r="I182">
        <v>16</v>
      </c>
      <c r="J182">
        <v>26</v>
      </c>
      <c r="K182">
        <v>44</v>
      </c>
      <c r="L182">
        <v>55</v>
      </c>
      <c r="M182">
        <v>70</v>
      </c>
      <c r="N182">
        <v>83</v>
      </c>
      <c r="O182">
        <v>93</v>
      </c>
      <c r="P182">
        <v>105</v>
      </c>
      <c r="Q182">
        <v>117</v>
      </c>
      <c r="R182">
        <v>122</v>
      </c>
      <c r="S182">
        <v>128</v>
      </c>
      <c r="T182">
        <v>133</v>
      </c>
      <c r="U182">
        <v>138</v>
      </c>
      <c r="V182">
        <v>138</v>
      </c>
      <c r="W182">
        <v>141</v>
      </c>
      <c r="X182">
        <v>149</v>
      </c>
      <c r="Y182">
        <v>153</v>
      </c>
      <c r="Z182">
        <v>154</v>
      </c>
      <c r="AA182">
        <v>156</v>
      </c>
      <c r="AB182">
        <v>162</v>
      </c>
      <c r="AC182">
        <v>168</v>
      </c>
      <c r="AD182">
        <v>171</v>
      </c>
      <c r="AE182">
        <v>171</v>
      </c>
      <c r="AF182">
        <v>172</v>
      </c>
      <c r="AG182">
        <v>172</v>
      </c>
      <c r="AH182">
        <v>174</v>
      </c>
      <c r="AI182">
        <v>174</v>
      </c>
      <c r="AJ182">
        <v>174</v>
      </c>
      <c r="AK182">
        <v>174</v>
      </c>
      <c r="AL182">
        <v>174</v>
      </c>
      <c r="AM182">
        <v>174</v>
      </c>
      <c r="AN182">
        <v>174</v>
      </c>
      <c r="AO182">
        <v>174</v>
      </c>
      <c r="AP182">
        <v>174</v>
      </c>
      <c r="AQ182">
        <v>174</v>
      </c>
      <c r="AR182">
        <v>174</v>
      </c>
      <c r="AS182">
        <v>174</v>
      </c>
      <c r="AT182">
        <v>174</v>
      </c>
      <c r="AU182">
        <v>174</v>
      </c>
      <c r="AV182">
        <v>174</v>
      </c>
      <c r="AW182">
        <v>174</v>
      </c>
      <c r="AX182">
        <v>174</v>
      </c>
      <c r="AY182">
        <v>174</v>
      </c>
      <c r="AZ182">
        <v>174</v>
      </c>
      <c r="BA182">
        <v>174</v>
      </c>
      <c r="BB182">
        <v>174</v>
      </c>
    </row>
    <row r="183" spans="1:54" hidden="1" x14ac:dyDescent="0.3">
      <c r="A183" t="s">
        <v>189</v>
      </c>
      <c r="B183" t="s">
        <v>163</v>
      </c>
      <c r="C183">
        <v>19.195900000000002</v>
      </c>
      <c r="D183">
        <v>109.7453</v>
      </c>
      <c r="E183">
        <v>4</v>
      </c>
      <c r="F183">
        <v>5</v>
      </c>
      <c r="G183">
        <v>8</v>
      </c>
      <c r="H183">
        <v>19</v>
      </c>
      <c r="I183">
        <v>22</v>
      </c>
      <c r="J183">
        <v>33</v>
      </c>
      <c r="K183">
        <v>40</v>
      </c>
      <c r="L183">
        <v>43</v>
      </c>
      <c r="M183">
        <v>46</v>
      </c>
      <c r="N183">
        <v>52</v>
      </c>
      <c r="O183">
        <v>62</v>
      </c>
      <c r="P183">
        <v>64</v>
      </c>
      <c r="Q183">
        <v>72</v>
      </c>
      <c r="R183">
        <v>80</v>
      </c>
      <c r="S183">
        <v>99</v>
      </c>
      <c r="T183">
        <v>106</v>
      </c>
      <c r="U183">
        <v>117</v>
      </c>
      <c r="V183">
        <v>124</v>
      </c>
      <c r="W183">
        <v>131</v>
      </c>
      <c r="X183">
        <v>138</v>
      </c>
      <c r="Y183">
        <v>144</v>
      </c>
      <c r="Z183">
        <v>157</v>
      </c>
      <c r="AA183">
        <v>157</v>
      </c>
      <c r="AB183">
        <v>159</v>
      </c>
      <c r="AC183">
        <v>162</v>
      </c>
      <c r="AD183">
        <v>162</v>
      </c>
      <c r="AE183">
        <v>163</v>
      </c>
      <c r="AF183">
        <v>163</v>
      </c>
      <c r="AG183">
        <v>168</v>
      </c>
      <c r="AH183">
        <v>168</v>
      </c>
      <c r="AI183">
        <v>168</v>
      </c>
      <c r="AJ183">
        <v>168</v>
      </c>
      <c r="AK183">
        <v>168</v>
      </c>
      <c r="AL183">
        <v>168</v>
      </c>
      <c r="AM183">
        <v>168</v>
      </c>
      <c r="AN183">
        <v>168</v>
      </c>
      <c r="AO183">
        <v>168</v>
      </c>
      <c r="AP183">
        <v>168</v>
      </c>
      <c r="AQ183">
        <v>168</v>
      </c>
      <c r="AR183">
        <v>168</v>
      </c>
      <c r="AS183">
        <v>168</v>
      </c>
      <c r="AT183">
        <v>168</v>
      </c>
      <c r="AU183">
        <v>168</v>
      </c>
      <c r="AV183">
        <v>168</v>
      </c>
      <c r="AW183">
        <v>168</v>
      </c>
      <c r="AX183">
        <v>168</v>
      </c>
      <c r="AY183">
        <v>168</v>
      </c>
      <c r="AZ183">
        <v>168</v>
      </c>
      <c r="BA183">
        <v>168</v>
      </c>
      <c r="BB183">
        <v>168</v>
      </c>
    </row>
    <row r="184" spans="1:54" hidden="1" x14ac:dyDescent="0.3">
      <c r="A184" t="s">
        <v>190</v>
      </c>
      <c r="B184" t="s">
        <v>163</v>
      </c>
      <c r="C184">
        <v>26.8154</v>
      </c>
      <c r="D184">
        <v>106.87479999999999</v>
      </c>
      <c r="E184">
        <v>1</v>
      </c>
      <c r="F184">
        <v>3</v>
      </c>
      <c r="G184">
        <v>3</v>
      </c>
      <c r="H184">
        <v>4</v>
      </c>
      <c r="I184">
        <v>5</v>
      </c>
      <c r="J184">
        <v>7</v>
      </c>
      <c r="K184">
        <v>9</v>
      </c>
      <c r="L184">
        <v>9</v>
      </c>
      <c r="M184">
        <v>12</v>
      </c>
      <c r="N184">
        <v>29</v>
      </c>
      <c r="O184">
        <v>29</v>
      </c>
      <c r="P184">
        <v>38</v>
      </c>
      <c r="Q184">
        <v>46</v>
      </c>
      <c r="R184">
        <v>58</v>
      </c>
      <c r="S184">
        <v>64</v>
      </c>
      <c r="T184">
        <v>71</v>
      </c>
      <c r="U184">
        <v>81</v>
      </c>
      <c r="V184">
        <v>89</v>
      </c>
      <c r="W184">
        <v>99</v>
      </c>
      <c r="X184">
        <v>109</v>
      </c>
      <c r="Y184">
        <v>127</v>
      </c>
      <c r="Z184">
        <v>133</v>
      </c>
      <c r="AA184">
        <v>135</v>
      </c>
      <c r="AB184">
        <v>140</v>
      </c>
      <c r="AC184">
        <v>143</v>
      </c>
      <c r="AD184">
        <v>144</v>
      </c>
      <c r="AE184">
        <v>146</v>
      </c>
      <c r="AF184">
        <v>146</v>
      </c>
      <c r="AG184">
        <v>146</v>
      </c>
      <c r="AH184">
        <v>146</v>
      </c>
      <c r="AI184">
        <v>146</v>
      </c>
      <c r="AJ184">
        <v>146</v>
      </c>
      <c r="AK184">
        <v>146</v>
      </c>
      <c r="AL184">
        <v>146</v>
      </c>
      <c r="AM184">
        <v>146</v>
      </c>
      <c r="AN184">
        <v>146</v>
      </c>
      <c r="AO184">
        <v>146</v>
      </c>
      <c r="AP184">
        <v>146</v>
      </c>
      <c r="AQ184">
        <v>146</v>
      </c>
      <c r="AR184">
        <v>146</v>
      </c>
      <c r="AS184">
        <v>146</v>
      </c>
      <c r="AT184">
        <v>146</v>
      </c>
      <c r="AU184">
        <v>146</v>
      </c>
      <c r="AV184">
        <v>146</v>
      </c>
      <c r="AW184">
        <v>146</v>
      </c>
      <c r="AX184">
        <v>146</v>
      </c>
      <c r="AY184">
        <v>146</v>
      </c>
      <c r="AZ184">
        <v>146</v>
      </c>
      <c r="BA184">
        <v>146</v>
      </c>
      <c r="BB184">
        <v>146</v>
      </c>
    </row>
    <row r="185" spans="1:54" hidden="1" x14ac:dyDescent="0.3">
      <c r="A185" t="s">
        <v>191</v>
      </c>
      <c r="B185" t="s">
        <v>163</v>
      </c>
      <c r="C185">
        <v>39.305399999999999</v>
      </c>
      <c r="D185">
        <v>117.32299999999999</v>
      </c>
      <c r="E185">
        <v>4</v>
      </c>
      <c r="F185">
        <v>4</v>
      </c>
      <c r="G185">
        <v>8</v>
      </c>
      <c r="H185">
        <v>10</v>
      </c>
      <c r="I185">
        <v>14</v>
      </c>
      <c r="J185">
        <v>23</v>
      </c>
      <c r="K185">
        <v>24</v>
      </c>
      <c r="L185">
        <v>27</v>
      </c>
      <c r="M185">
        <v>31</v>
      </c>
      <c r="N185">
        <v>32</v>
      </c>
      <c r="O185">
        <v>41</v>
      </c>
      <c r="P185">
        <v>48</v>
      </c>
      <c r="Q185">
        <v>60</v>
      </c>
      <c r="R185">
        <v>67</v>
      </c>
      <c r="S185">
        <v>69</v>
      </c>
      <c r="T185">
        <v>79</v>
      </c>
      <c r="U185">
        <v>81</v>
      </c>
      <c r="V185">
        <v>88</v>
      </c>
      <c r="W185">
        <v>91</v>
      </c>
      <c r="X185">
        <v>95</v>
      </c>
      <c r="Y185">
        <v>106</v>
      </c>
      <c r="Z185">
        <v>112</v>
      </c>
      <c r="AA185">
        <v>119</v>
      </c>
      <c r="AB185">
        <v>120</v>
      </c>
      <c r="AC185">
        <v>122</v>
      </c>
      <c r="AD185">
        <v>124</v>
      </c>
      <c r="AE185">
        <v>125</v>
      </c>
      <c r="AF185">
        <v>128</v>
      </c>
      <c r="AG185">
        <v>130</v>
      </c>
      <c r="AH185">
        <v>131</v>
      </c>
      <c r="AI185">
        <v>132</v>
      </c>
      <c r="AJ185">
        <v>135</v>
      </c>
      <c r="AK185">
        <v>135</v>
      </c>
      <c r="AL185">
        <v>135</v>
      </c>
      <c r="AM185">
        <v>135</v>
      </c>
      <c r="AN185">
        <v>135</v>
      </c>
      <c r="AO185">
        <v>136</v>
      </c>
      <c r="AP185">
        <v>136</v>
      </c>
      <c r="AQ185">
        <v>136</v>
      </c>
      <c r="AR185">
        <v>136</v>
      </c>
      <c r="AS185">
        <v>136</v>
      </c>
      <c r="AT185">
        <v>136</v>
      </c>
      <c r="AU185">
        <v>136</v>
      </c>
      <c r="AV185">
        <v>136</v>
      </c>
      <c r="AW185">
        <v>136</v>
      </c>
      <c r="AX185">
        <v>136</v>
      </c>
      <c r="AY185">
        <v>136</v>
      </c>
      <c r="AZ185">
        <v>136</v>
      </c>
      <c r="BA185">
        <v>136</v>
      </c>
      <c r="BB185">
        <v>136</v>
      </c>
    </row>
    <row r="186" spans="1:54" hidden="1" x14ac:dyDescent="0.3">
      <c r="A186" t="s">
        <v>192</v>
      </c>
      <c r="B186" t="s">
        <v>163</v>
      </c>
      <c r="C186">
        <v>37.5777</v>
      </c>
      <c r="D186">
        <v>112.29219999999999</v>
      </c>
      <c r="E186">
        <v>1</v>
      </c>
      <c r="F186">
        <v>1</v>
      </c>
      <c r="G186">
        <v>1</v>
      </c>
      <c r="H186">
        <v>6</v>
      </c>
      <c r="I186">
        <v>9</v>
      </c>
      <c r="J186">
        <v>13</v>
      </c>
      <c r="K186">
        <v>27</v>
      </c>
      <c r="L186">
        <v>27</v>
      </c>
      <c r="M186">
        <v>35</v>
      </c>
      <c r="N186">
        <v>39</v>
      </c>
      <c r="O186">
        <v>47</v>
      </c>
      <c r="P186">
        <v>66</v>
      </c>
      <c r="Q186">
        <v>74</v>
      </c>
      <c r="R186">
        <v>81</v>
      </c>
      <c r="S186">
        <v>81</v>
      </c>
      <c r="T186">
        <v>96</v>
      </c>
      <c r="U186">
        <v>104</v>
      </c>
      <c r="V186">
        <v>115</v>
      </c>
      <c r="W186">
        <v>119</v>
      </c>
      <c r="X186">
        <v>119</v>
      </c>
      <c r="Y186">
        <v>124</v>
      </c>
      <c r="Z186">
        <v>126</v>
      </c>
      <c r="AA186">
        <v>126</v>
      </c>
      <c r="AB186">
        <v>127</v>
      </c>
      <c r="AC186">
        <v>128</v>
      </c>
      <c r="AD186">
        <v>129</v>
      </c>
      <c r="AE186">
        <v>130</v>
      </c>
      <c r="AF186">
        <v>131</v>
      </c>
      <c r="AG186">
        <v>131</v>
      </c>
      <c r="AH186">
        <v>132</v>
      </c>
      <c r="AI186">
        <v>132</v>
      </c>
      <c r="AJ186">
        <v>132</v>
      </c>
      <c r="AK186">
        <v>132</v>
      </c>
      <c r="AL186">
        <v>133</v>
      </c>
      <c r="AM186">
        <v>133</v>
      </c>
      <c r="AN186">
        <v>133</v>
      </c>
      <c r="AO186">
        <v>133</v>
      </c>
      <c r="AP186">
        <v>133</v>
      </c>
      <c r="AQ186">
        <v>133</v>
      </c>
      <c r="AR186">
        <v>133</v>
      </c>
      <c r="AS186">
        <v>133</v>
      </c>
      <c r="AT186">
        <v>133</v>
      </c>
      <c r="AU186">
        <v>133</v>
      </c>
      <c r="AV186">
        <v>133</v>
      </c>
      <c r="AW186">
        <v>133</v>
      </c>
      <c r="AX186">
        <v>133</v>
      </c>
      <c r="AY186">
        <v>133</v>
      </c>
      <c r="AZ186">
        <v>133</v>
      </c>
      <c r="BA186">
        <v>133</v>
      </c>
      <c r="BB186">
        <v>133</v>
      </c>
    </row>
    <row r="187" spans="1:54" hidden="1" x14ac:dyDescent="0.3">
      <c r="A187" t="s">
        <v>193</v>
      </c>
      <c r="B187" t="s">
        <v>163</v>
      </c>
      <c r="C187">
        <v>37.809899999999999</v>
      </c>
      <c r="D187">
        <v>101.0583</v>
      </c>
      <c r="E187">
        <v>0</v>
      </c>
      <c r="F187">
        <v>2</v>
      </c>
      <c r="G187">
        <v>2</v>
      </c>
      <c r="H187">
        <v>4</v>
      </c>
      <c r="I187">
        <v>7</v>
      </c>
      <c r="J187">
        <v>14</v>
      </c>
      <c r="K187">
        <v>19</v>
      </c>
      <c r="L187">
        <v>24</v>
      </c>
      <c r="M187">
        <v>26</v>
      </c>
      <c r="N187">
        <v>29</v>
      </c>
      <c r="O187">
        <v>40</v>
      </c>
      <c r="P187">
        <v>51</v>
      </c>
      <c r="Q187">
        <v>55</v>
      </c>
      <c r="R187">
        <v>57</v>
      </c>
      <c r="S187">
        <v>62</v>
      </c>
      <c r="T187">
        <v>62</v>
      </c>
      <c r="U187">
        <v>67</v>
      </c>
      <c r="V187">
        <v>79</v>
      </c>
      <c r="W187">
        <v>83</v>
      </c>
      <c r="X187">
        <v>83</v>
      </c>
      <c r="Y187">
        <v>86</v>
      </c>
      <c r="Z187">
        <v>87</v>
      </c>
      <c r="AA187">
        <v>90</v>
      </c>
      <c r="AB187">
        <v>90</v>
      </c>
      <c r="AC187">
        <v>90</v>
      </c>
      <c r="AD187">
        <v>90</v>
      </c>
      <c r="AE187">
        <v>91</v>
      </c>
      <c r="AF187">
        <v>91</v>
      </c>
      <c r="AG187">
        <v>91</v>
      </c>
      <c r="AH187">
        <v>91</v>
      </c>
      <c r="AI187">
        <v>91</v>
      </c>
      <c r="AJ187">
        <v>91</v>
      </c>
      <c r="AK187">
        <v>91</v>
      </c>
      <c r="AL187">
        <v>91</v>
      </c>
      <c r="AM187">
        <v>91</v>
      </c>
      <c r="AN187">
        <v>91</v>
      </c>
      <c r="AO187">
        <v>91</v>
      </c>
      <c r="AP187">
        <v>91</v>
      </c>
      <c r="AQ187">
        <v>91</v>
      </c>
      <c r="AR187">
        <v>91</v>
      </c>
      <c r="AS187">
        <v>91</v>
      </c>
      <c r="AT187">
        <v>91</v>
      </c>
      <c r="AU187">
        <v>91</v>
      </c>
      <c r="AV187">
        <v>102</v>
      </c>
      <c r="AW187">
        <v>119</v>
      </c>
      <c r="AX187">
        <v>120</v>
      </c>
      <c r="AY187">
        <v>124</v>
      </c>
      <c r="AZ187">
        <v>124</v>
      </c>
      <c r="BA187">
        <v>125</v>
      </c>
      <c r="BB187">
        <v>127</v>
      </c>
    </row>
    <row r="188" spans="1:54" hidden="1" x14ac:dyDescent="0.3">
      <c r="A188" t="s">
        <v>194</v>
      </c>
      <c r="B188" t="s">
        <v>163</v>
      </c>
      <c r="C188">
        <v>22.3</v>
      </c>
      <c r="D188">
        <v>114.2</v>
      </c>
      <c r="E188">
        <v>0</v>
      </c>
      <c r="F188">
        <v>2</v>
      </c>
      <c r="G188">
        <v>2</v>
      </c>
      <c r="H188">
        <v>5</v>
      </c>
      <c r="I188">
        <v>8</v>
      </c>
      <c r="J188">
        <v>8</v>
      </c>
      <c r="K188">
        <v>8</v>
      </c>
      <c r="L188">
        <v>10</v>
      </c>
      <c r="M188">
        <v>10</v>
      </c>
      <c r="N188">
        <v>12</v>
      </c>
      <c r="O188">
        <v>13</v>
      </c>
      <c r="P188">
        <v>15</v>
      </c>
      <c r="Q188">
        <v>15</v>
      </c>
      <c r="R188">
        <v>17</v>
      </c>
      <c r="S188">
        <v>21</v>
      </c>
      <c r="T188">
        <v>24</v>
      </c>
      <c r="U188">
        <v>25</v>
      </c>
      <c r="V188">
        <v>26</v>
      </c>
      <c r="W188">
        <v>29</v>
      </c>
      <c r="X188">
        <v>38</v>
      </c>
      <c r="Y188">
        <v>49</v>
      </c>
      <c r="Z188">
        <v>50</v>
      </c>
      <c r="AA188">
        <v>53</v>
      </c>
      <c r="AB188">
        <v>56</v>
      </c>
      <c r="AC188">
        <v>56</v>
      </c>
      <c r="AD188">
        <v>57</v>
      </c>
      <c r="AE188">
        <v>60</v>
      </c>
      <c r="AF188">
        <v>62</v>
      </c>
      <c r="AG188">
        <v>63</v>
      </c>
      <c r="AH188">
        <v>68</v>
      </c>
      <c r="AI188">
        <v>68</v>
      </c>
      <c r="AJ188">
        <v>69</v>
      </c>
      <c r="AK188">
        <v>74</v>
      </c>
      <c r="AL188">
        <v>79</v>
      </c>
      <c r="AM188">
        <v>84</v>
      </c>
      <c r="AN188">
        <v>91</v>
      </c>
      <c r="AO188">
        <v>92</v>
      </c>
      <c r="AP188">
        <v>94</v>
      </c>
      <c r="AQ188">
        <v>95</v>
      </c>
      <c r="AR188">
        <v>96</v>
      </c>
      <c r="AS188">
        <v>100</v>
      </c>
      <c r="AT188">
        <v>100</v>
      </c>
      <c r="AU188">
        <v>105</v>
      </c>
      <c r="AV188">
        <v>105</v>
      </c>
      <c r="AW188">
        <v>107</v>
      </c>
      <c r="AX188">
        <v>108</v>
      </c>
      <c r="AY188">
        <v>114</v>
      </c>
      <c r="AZ188">
        <v>115</v>
      </c>
      <c r="BA188">
        <v>120</v>
      </c>
      <c r="BB188">
        <v>126</v>
      </c>
    </row>
    <row r="189" spans="1:54" hidden="1" x14ac:dyDescent="0.3">
      <c r="A189" t="s">
        <v>195</v>
      </c>
      <c r="B189" t="s">
        <v>163</v>
      </c>
      <c r="C189">
        <v>41.2956</v>
      </c>
      <c r="D189">
        <v>122.60850000000001</v>
      </c>
      <c r="E189">
        <v>2</v>
      </c>
      <c r="F189">
        <v>3</v>
      </c>
      <c r="G189">
        <v>4</v>
      </c>
      <c r="H189">
        <v>17</v>
      </c>
      <c r="I189">
        <v>21</v>
      </c>
      <c r="J189">
        <v>27</v>
      </c>
      <c r="K189">
        <v>34</v>
      </c>
      <c r="L189">
        <v>39</v>
      </c>
      <c r="M189">
        <v>41</v>
      </c>
      <c r="N189">
        <v>48</v>
      </c>
      <c r="O189">
        <v>64</v>
      </c>
      <c r="P189">
        <v>70</v>
      </c>
      <c r="Q189">
        <v>74</v>
      </c>
      <c r="R189">
        <v>81</v>
      </c>
      <c r="S189">
        <v>89</v>
      </c>
      <c r="T189">
        <v>94</v>
      </c>
      <c r="U189">
        <v>99</v>
      </c>
      <c r="V189">
        <v>105</v>
      </c>
      <c r="W189">
        <v>107</v>
      </c>
      <c r="X189">
        <v>108</v>
      </c>
      <c r="Y189">
        <v>111</v>
      </c>
      <c r="Z189">
        <v>116</v>
      </c>
      <c r="AA189">
        <v>117</v>
      </c>
      <c r="AB189">
        <v>119</v>
      </c>
      <c r="AC189">
        <v>119</v>
      </c>
      <c r="AD189">
        <v>121</v>
      </c>
      <c r="AE189">
        <v>121</v>
      </c>
      <c r="AF189">
        <v>121</v>
      </c>
      <c r="AG189">
        <v>121</v>
      </c>
      <c r="AH189">
        <v>121</v>
      </c>
      <c r="AI189">
        <v>121</v>
      </c>
      <c r="AJ189">
        <v>121</v>
      </c>
      <c r="AK189">
        <v>121</v>
      </c>
      <c r="AL189">
        <v>121</v>
      </c>
      <c r="AM189">
        <v>121</v>
      </c>
      <c r="AN189">
        <v>121</v>
      </c>
      <c r="AO189">
        <v>121</v>
      </c>
      <c r="AP189">
        <v>121</v>
      </c>
      <c r="AQ189">
        <v>121</v>
      </c>
      <c r="AR189">
        <v>122</v>
      </c>
      <c r="AS189">
        <v>122</v>
      </c>
      <c r="AT189">
        <v>125</v>
      </c>
      <c r="AU189">
        <v>125</v>
      </c>
      <c r="AV189">
        <v>125</v>
      </c>
      <c r="AW189">
        <v>125</v>
      </c>
      <c r="AX189">
        <v>125</v>
      </c>
      <c r="AY189">
        <v>125</v>
      </c>
      <c r="AZ189">
        <v>125</v>
      </c>
      <c r="BA189">
        <v>125</v>
      </c>
      <c r="BB189">
        <v>125</v>
      </c>
    </row>
    <row r="190" spans="1:54" hidden="1" x14ac:dyDescent="0.3">
      <c r="A190" t="s">
        <v>196</v>
      </c>
      <c r="B190" t="s">
        <v>163</v>
      </c>
      <c r="C190">
        <v>43.6661</v>
      </c>
      <c r="D190">
        <v>126.1923</v>
      </c>
      <c r="E190">
        <v>0</v>
      </c>
      <c r="F190">
        <v>1</v>
      </c>
      <c r="G190">
        <v>3</v>
      </c>
      <c r="H190">
        <v>4</v>
      </c>
      <c r="I190">
        <v>4</v>
      </c>
      <c r="J190">
        <v>6</v>
      </c>
      <c r="K190">
        <v>8</v>
      </c>
      <c r="L190">
        <v>9</v>
      </c>
      <c r="M190">
        <v>14</v>
      </c>
      <c r="N190">
        <v>14</v>
      </c>
      <c r="O190">
        <v>17</v>
      </c>
      <c r="P190">
        <v>23</v>
      </c>
      <c r="Q190">
        <v>31</v>
      </c>
      <c r="R190">
        <v>42</v>
      </c>
      <c r="S190">
        <v>54</v>
      </c>
      <c r="T190">
        <v>59</v>
      </c>
      <c r="U190">
        <v>65</v>
      </c>
      <c r="V190">
        <v>69</v>
      </c>
      <c r="W190">
        <v>78</v>
      </c>
      <c r="X190">
        <v>80</v>
      </c>
      <c r="Y190">
        <v>81</v>
      </c>
      <c r="Z190">
        <v>83</v>
      </c>
      <c r="AA190">
        <v>84</v>
      </c>
      <c r="AB190">
        <v>86</v>
      </c>
      <c r="AC190">
        <v>88</v>
      </c>
      <c r="AD190">
        <v>89</v>
      </c>
      <c r="AE190">
        <v>89</v>
      </c>
      <c r="AF190">
        <v>89</v>
      </c>
      <c r="AG190">
        <v>90</v>
      </c>
      <c r="AH190">
        <v>91</v>
      </c>
      <c r="AI190">
        <v>91</v>
      </c>
      <c r="AJ190">
        <v>91</v>
      </c>
      <c r="AK190">
        <v>91</v>
      </c>
      <c r="AL190">
        <v>93</v>
      </c>
      <c r="AM190">
        <v>93</v>
      </c>
      <c r="AN190">
        <v>93</v>
      </c>
      <c r="AO190">
        <v>93</v>
      </c>
      <c r="AP190">
        <v>93</v>
      </c>
      <c r="AQ190">
        <v>93</v>
      </c>
      <c r="AR190">
        <v>93</v>
      </c>
      <c r="AS190">
        <v>93</v>
      </c>
      <c r="AT190">
        <v>93</v>
      </c>
      <c r="AU190">
        <v>93</v>
      </c>
      <c r="AV190">
        <v>93</v>
      </c>
      <c r="AW190">
        <v>93</v>
      </c>
      <c r="AX190">
        <v>93</v>
      </c>
      <c r="AY190">
        <v>93</v>
      </c>
      <c r="AZ190">
        <v>93</v>
      </c>
      <c r="BA190">
        <v>93</v>
      </c>
      <c r="BB190">
        <v>93</v>
      </c>
    </row>
    <row r="191" spans="1:54" hidden="1" x14ac:dyDescent="0.3">
      <c r="B191" t="s">
        <v>197</v>
      </c>
      <c r="C191">
        <v>49.817500000000003</v>
      </c>
      <c r="D191">
        <v>15.473000000000001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3</v>
      </c>
      <c r="AS191">
        <v>3</v>
      </c>
      <c r="AT191">
        <v>5</v>
      </c>
      <c r="AU191">
        <v>8</v>
      </c>
      <c r="AV191">
        <v>12</v>
      </c>
      <c r="AW191">
        <v>18</v>
      </c>
      <c r="AX191">
        <v>19</v>
      </c>
      <c r="AY191">
        <v>31</v>
      </c>
      <c r="AZ191">
        <v>31</v>
      </c>
      <c r="BA191">
        <v>41</v>
      </c>
      <c r="BB191">
        <v>91</v>
      </c>
    </row>
    <row r="192" spans="1:54" hidden="1" x14ac:dyDescent="0.3">
      <c r="A192" t="s">
        <v>198</v>
      </c>
      <c r="B192" t="s">
        <v>163</v>
      </c>
      <c r="C192">
        <v>41.112900000000003</v>
      </c>
      <c r="D192">
        <v>85.240099999999998</v>
      </c>
      <c r="E192">
        <v>0</v>
      </c>
      <c r="F192">
        <v>2</v>
      </c>
      <c r="G192">
        <v>2</v>
      </c>
      <c r="H192">
        <v>3</v>
      </c>
      <c r="I192">
        <v>4</v>
      </c>
      <c r="J192">
        <v>5</v>
      </c>
      <c r="K192">
        <v>10</v>
      </c>
      <c r="L192">
        <v>13</v>
      </c>
      <c r="M192">
        <v>14</v>
      </c>
      <c r="N192">
        <v>17</v>
      </c>
      <c r="O192">
        <v>18</v>
      </c>
      <c r="P192">
        <v>21</v>
      </c>
      <c r="Q192">
        <v>24</v>
      </c>
      <c r="R192">
        <v>29</v>
      </c>
      <c r="S192">
        <v>32</v>
      </c>
      <c r="T192">
        <v>36</v>
      </c>
      <c r="U192">
        <v>39</v>
      </c>
      <c r="V192">
        <v>42</v>
      </c>
      <c r="W192">
        <v>45</v>
      </c>
      <c r="X192">
        <v>49</v>
      </c>
      <c r="Y192">
        <v>55</v>
      </c>
      <c r="Z192">
        <v>59</v>
      </c>
      <c r="AA192">
        <v>63</v>
      </c>
      <c r="AB192">
        <v>65</v>
      </c>
      <c r="AC192">
        <v>70</v>
      </c>
      <c r="AD192">
        <v>71</v>
      </c>
      <c r="AE192">
        <v>75</v>
      </c>
      <c r="AF192">
        <v>76</v>
      </c>
      <c r="AG192">
        <v>76</v>
      </c>
      <c r="AH192">
        <v>76</v>
      </c>
      <c r="AI192">
        <v>76</v>
      </c>
      <c r="AJ192">
        <v>76</v>
      </c>
      <c r="AK192">
        <v>76</v>
      </c>
      <c r="AL192">
        <v>76</v>
      </c>
      <c r="AM192">
        <v>76</v>
      </c>
      <c r="AN192">
        <v>76</v>
      </c>
      <c r="AO192">
        <v>76</v>
      </c>
      <c r="AP192">
        <v>76</v>
      </c>
      <c r="AQ192">
        <v>76</v>
      </c>
      <c r="AR192">
        <v>76</v>
      </c>
      <c r="AS192">
        <v>76</v>
      </c>
      <c r="AT192">
        <v>76</v>
      </c>
      <c r="AU192">
        <v>76</v>
      </c>
      <c r="AV192">
        <v>76</v>
      </c>
      <c r="AW192">
        <v>76</v>
      </c>
      <c r="AX192">
        <v>76</v>
      </c>
      <c r="AY192">
        <v>76</v>
      </c>
      <c r="AZ192">
        <v>76</v>
      </c>
      <c r="BA192">
        <v>76</v>
      </c>
      <c r="BB192">
        <v>76</v>
      </c>
    </row>
    <row r="193" spans="1:54" hidden="1" x14ac:dyDescent="0.3">
      <c r="A193" t="s">
        <v>199</v>
      </c>
      <c r="B193" t="s">
        <v>163</v>
      </c>
      <c r="C193">
        <v>44.093499999999999</v>
      </c>
      <c r="D193">
        <v>113.9448</v>
      </c>
      <c r="E193">
        <v>0</v>
      </c>
      <c r="F193">
        <v>0</v>
      </c>
      <c r="G193">
        <v>1</v>
      </c>
      <c r="H193">
        <v>7</v>
      </c>
      <c r="I193">
        <v>7</v>
      </c>
      <c r="J193">
        <v>11</v>
      </c>
      <c r="K193">
        <v>15</v>
      </c>
      <c r="L193">
        <v>16</v>
      </c>
      <c r="M193">
        <v>19</v>
      </c>
      <c r="N193">
        <v>20</v>
      </c>
      <c r="O193">
        <v>23</v>
      </c>
      <c r="P193">
        <v>27</v>
      </c>
      <c r="Q193">
        <v>34</v>
      </c>
      <c r="R193">
        <v>35</v>
      </c>
      <c r="S193">
        <v>42</v>
      </c>
      <c r="T193">
        <v>46</v>
      </c>
      <c r="U193">
        <v>50</v>
      </c>
      <c r="V193">
        <v>52</v>
      </c>
      <c r="W193">
        <v>54</v>
      </c>
      <c r="X193">
        <v>58</v>
      </c>
      <c r="Y193">
        <v>58</v>
      </c>
      <c r="Z193">
        <v>60</v>
      </c>
      <c r="AA193">
        <v>61</v>
      </c>
      <c r="AB193">
        <v>65</v>
      </c>
      <c r="AC193">
        <v>68</v>
      </c>
      <c r="AD193">
        <v>70</v>
      </c>
      <c r="AE193">
        <v>72</v>
      </c>
      <c r="AF193">
        <v>73</v>
      </c>
      <c r="AG193">
        <v>75</v>
      </c>
      <c r="AH193">
        <v>75</v>
      </c>
      <c r="AI193">
        <v>75</v>
      </c>
      <c r="AJ193">
        <v>75</v>
      </c>
      <c r="AK193">
        <v>75</v>
      </c>
      <c r="AL193">
        <v>75</v>
      </c>
      <c r="AM193">
        <v>75</v>
      </c>
      <c r="AN193">
        <v>75</v>
      </c>
      <c r="AO193">
        <v>75</v>
      </c>
      <c r="AP193">
        <v>75</v>
      </c>
      <c r="AQ193">
        <v>75</v>
      </c>
      <c r="AR193">
        <v>75</v>
      </c>
      <c r="AS193">
        <v>75</v>
      </c>
      <c r="AT193">
        <v>75</v>
      </c>
      <c r="AU193">
        <v>75</v>
      </c>
      <c r="AV193">
        <v>75</v>
      </c>
      <c r="AW193">
        <v>75</v>
      </c>
      <c r="AX193">
        <v>75</v>
      </c>
      <c r="AY193">
        <v>75</v>
      </c>
      <c r="AZ193">
        <v>75</v>
      </c>
      <c r="BA193">
        <v>75</v>
      </c>
      <c r="BB193">
        <v>75</v>
      </c>
    </row>
    <row r="194" spans="1:54" hidden="1" x14ac:dyDescent="0.3">
      <c r="A194" t="s">
        <v>200</v>
      </c>
      <c r="B194" t="s">
        <v>163</v>
      </c>
      <c r="C194">
        <v>37.269199999999998</v>
      </c>
      <c r="D194">
        <v>106.16549999999999</v>
      </c>
      <c r="E194">
        <v>1</v>
      </c>
      <c r="F194">
        <v>1</v>
      </c>
      <c r="G194">
        <v>2</v>
      </c>
      <c r="H194">
        <v>3</v>
      </c>
      <c r="I194">
        <v>4</v>
      </c>
      <c r="J194">
        <v>7</v>
      </c>
      <c r="K194">
        <v>11</v>
      </c>
      <c r="L194">
        <v>12</v>
      </c>
      <c r="M194">
        <v>17</v>
      </c>
      <c r="N194">
        <v>21</v>
      </c>
      <c r="O194">
        <v>26</v>
      </c>
      <c r="P194">
        <v>28</v>
      </c>
      <c r="Q194">
        <v>31</v>
      </c>
      <c r="R194">
        <v>34</v>
      </c>
      <c r="S194">
        <v>34</v>
      </c>
      <c r="T194">
        <v>40</v>
      </c>
      <c r="U194">
        <v>43</v>
      </c>
      <c r="V194">
        <v>45</v>
      </c>
      <c r="W194">
        <v>45</v>
      </c>
      <c r="X194">
        <v>49</v>
      </c>
      <c r="Y194">
        <v>53</v>
      </c>
      <c r="Z194">
        <v>58</v>
      </c>
      <c r="AA194">
        <v>64</v>
      </c>
      <c r="AB194">
        <v>67</v>
      </c>
      <c r="AC194">
        <v>70</v>
      </c>
      <c r="AD194">
        <v>70</v>
      </c>
      <c r="AE194">
        <v>70</v>
      </c>
      <c r="AF194">
        <v>70</v>
      </c>
      <c r="AG194">
        <v>71</v>
      </c>
      <c r="AH194">
        <v>71</v>
      </c>
      <c r="AI194">
        <v>71</v>
      </c>
      <c r="AJ194">
        <v>71</v>
      </c>
      <c r="AK194">
        <v>71</v>
      </c>
      <c r="AL194">
        <v>71</v>
      </c>
      <c r="AM194">
        <v>71</v>
      </c>
      <c r="AN194">
        <v>71</v>
      </c>
      <c r="AO194">
        <v>72</v>
      </c>
      <c r="AP194">
        <v>72</v>
      </c>
      <c r="AQ194">
        <v>73</v>
      </c>
      <c r="AR194">
        <v>73</v>
      </c>
      <c r="AS194">
        <v>74</v>
      </c>
      <c r="AT194">
        <v>74</v>
      </c>
      <c r="AU194">
        <v>75</v>
      </c>
      <c r="AV194">
        <v>75</v>
      </c>
      <c r="AW194">
        <v>75</v>
      </c>
      <c r="AX194">
        <v>75</v>
      </c>
      <c r="AY194">
        <v>75</v>
      </c>
      <c r="AZ194">
        <v>75</v>
      </c>
      <c r="BA194">
        <v>75</v>
      </c>
      <c r="BB194">
        <v>75</v>
      </c>
    </row>
    <row r="195" spans="1:54" hidden="1" x14ac:dyDescent="0.3">
      <c r="B195" t="s">
        <v>201</v>
      </c>
      <c r="C195">
        <v>23.7</v>
      </c>
      <c r="D195">
        <v>121</v>
      </c>
      <c r="E195">
        <v>1</v>
      </c>
      <c r="F195">
        <v>1</v>
      </c>
      <c r="G195">
        <v>3</v>
      </c>
      <c r="H195">
        <v>3</v>
      </c>
      <c r="I195">
        <v>4</v>
      </c>
      <c r="J195">
        <v>5</v>
      </c>
      <c r="K195">
        <v>8</v>
      </c>
      <c r="L195">
        <v>8</v>
      </c>
      <c r="M195">
        <v>9</v>
      </c>
      <c r="N195">
        <v>10</v>
      </c>
      <c r="O195">
        <v>10</v>
      </c>
      <c r="P195">
        <v>10</v>
      </c>
      <c r="Q195">
        <v>10</v>
      </c>
      <c r="R195">
        <v>11</v>
      </c>
      <c r="S195">
        <v>11</v>
      </c>
      <c r="T195">
        <v>16</v>
      </c>
      <c r="U195">
        <v>16</v>
      </c>
      <c r="V195">
        <v>17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20</v>
      </c>
      <c r="AE195">
        <v>22</v>
      </c>
      <c r="AF195">
        <v>22</v>
      </c>
      <c r="AG195">
        <v>23</v>
      </c>
      <c r="AH195">
        <v>24</v>
      </c>
      <c r="AI195">
        <v>26</v>
      </c>
      <c r="AJ195">
        <v>26</v>
      </c>
      <c r="AK195">
        <v>28</v>
      </c>
      <c r="AL195">
        <v>30</v>
      </c>
      <c r="AM195">
        <v>31</v>
      </c>
      <c r="AN195">
        <v>32</v>
      </c>
      <c r="AO195">
        <v>32</v>
      </c>
      <c r="AP195">
        <v>34</v>
      </c>
      <c r="AQ195">
        <v>39</v>
      </c>
      <c r="AR195">
        <v>40</v>
      </c>
      <c r="AS195">
        <v>41</v>
      </c>
      <c r="AT195">
        <v>42</v>
      </c>
      <c r="AU195">
        <v>42</v>
      </c>
      <c r="AV195">
        <v>44</v>
      </c>
      <c r="AW195">
        <v>45</v>
      </c>
      <c r="AX195">
        <v>45</v>
      </c>
      <c r="AY195">
        <v>45</v>
      </c>
      <c r="AZ195">
        <v>45</v>
      </c>
      <c r="BA195">
        <v>47</v>
      </c>
      <c r="BB195">
        <v>48</v>
      </c>
    </row>
    <row r="196" spans="1:54" hidden="1" x14ac:dyDescent="0.3">
      <c r="B196" t="s">
        <v>202</v>
      </c>
      <c r="C196">
        <v>16</v>
      </c>
      <c r="D196">
        <v>108</v>
      </c>
      <c r="E196">
        <v>0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6</v>
      </c>
      <c r="P196">
        <v>6</v>
      </c>
      <c r="Q196">
        <v>8</v>
      </c>
      <c r="R196">
        <v>8</v>
      </c>
      <c r="S196">
        <v>8</v>
      </c>
      <c r="T196">
        <v>10</v>
      </c>
      <c r="U196">
        <v>10</v>
      </c>
      <c r="V196">
        <v>13</v>
      </c>
      <c r="W196">
        <v>13</v>
      </c>
      <c r="X196">
        <v>14</v>
      </c>
      <c r="Y196">
        <v>15</v>
      </c>
      <c r="Z196">
        <v>15</v>
      </c>
      <c r="AA196">
        <v>16</v>
      </c>
      <c r="AB196">
        <v>16</v>
      </c>
      <c r="AC196">
        <v>16</v>
      </c>
      <c r="AD196">
        <v>16</v>
      </c>
      <c r="AE196">
        <v>16</v>
      </c>
      <c r="AF196">
        <v>16</v>
      </c>
      <c r="AG196">
        <v>16</v>
      </c>
      <c r="AH196">
        <v>16</v>
      </c>
      <c r="AI196">
        <v>16</v>
      </c>
      <c r="AJ196">
        <v>16</v>
      </c>
      <c r="AK196">
        <v>16</v>
      </c>
      <c r="AL196">
        <v>16</v>
      </c>
      <c r="AM196">
        <v>16</v>
      </c>
      <c r="AN196">
        <v>16</v>
      </c>
      <c r="AO196">
        <v>16</v>
      </c>
      <c r="AP196">
        <v>16</v>
      </c>
      <c r="AQ196">
        <v>16</v>
      </c>
      <c r="AR196">
        <v>16</v>
      </c>
      <c r="AS196">
        <v>16</v>
      </c>
      <c r="AT196">
        <v>16</v>
      </c>
      <c r="AU196">
        <v>16</v>
      </c>
      <c r="AV196">
        <v>16</v>
      </c>
      <c r="AW196">
        <v>16</v>
      </c>
      <c r="AX196">
        <v>18</v>
      </c>
      <c r="AY196">
        <v>30</v>
      </c>
      <c r="AZ196">
        <v>30</v>
      </c>
      <c r="BA196">
        <v>31</v>
      </c>
      <c r="BB196">
        <v>38</v>
      </c>
    </row>
    <row r="197" spans="1:54" hidden="1" x14ac:dyDescent="0.3">
      <c r="B197" t="s">
        <v>203</v>
      </c>
      <c r="C197">
        <v>60</v>
      </c>
      <c r="D197">
        <v>90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</v>
      </c>
      <c r="O197">
        <v>2</v>
      </c>
      <c r="P197">
        <v>2</v>
      </c>
      <c r="Q197">
        <v>2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2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2</v>
      </c>
      <c r="AQ197">
        <v>2</v>
      </c>
      <c r="AR197">
        <v>2</v>
      </c>
      <c r="AS197">
        <v>3</v>
      </c>
      <c r="AT197">
        <v>3</v>
      </c>
      <c r="AU197">
        <v>3</v>
      </c>
      <c r="AV197">
        <v>4</v>
      </c>
      <c r="AW197">
        <v>13</v>
      </c>
      <c r="AX197">
        <v>13</v>
      </c>
      <c r="AY197">
        <v>17</v>
      </c>
      <c r="AZ197">
        <v>17</v>
      </c>
      <c r="BA197">
        <v>20</v>
      </c>
      <c r="BB197">
        <v>20</v>
      </c>
    </row>
    <row r="198" spans="1:54" hidden="1" x14ac:dyDescent="0.3">
      <c r="A198" t="s">
        <v>204</v>
      </c>
      <c r="B198" t="s">
        <v>163</v>
      </c>
      <c r="C198">
        <v>35.745199999999997</v>
      </c>
      <c r="D198">
        <v>95.995599999999996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6</v>
      </c>
      <c r="K198">
        <v>6</v>
      </c>
      <c r="L198">
        <v>6</v>
      </c>
      <c r="M198">
        <v>8</v>
      </c>
      <c r="N198">
        <v>8</v>
      </c>
      <c r="O198">
        <v>9</v>
      </c>
      <c r="P198">
        <v>11</v>
      </c>
      <c r="Q198">
        <v>13</v>
      </c>
      <c r="R198">
        <v>15</v>
      </c>
      <c r="S198">
        <v>17</v>
      </c>
      <c r="T198">
        <v>18</v>
      </c>
      <c r="U198">
        <v>18</v>
      </c>
      <c r="V198">
        <v>18</v>
      </c>
      <c r="W198">
        <v>18</v>
      </c>
      <c r="X198">
        <v>18</v>
      </c>
      <c r="Y198">
        <v>18</v>
      </c>
      <c r="Z198">
        <v>18</v>
      </c>
      <c r="AA198">
        <v>18</v>
      </c>
      <c r="AB198">
        <v>18</v>
      </c>
      <c r="AC198">
        <v>18</v>
      </c>
      <c r="AD198">
        <v>18</v>
      </c>
      <c r="AE198">
        <v>18</v>
      </c>
      <c r="AF198">
        <v>18</v>
      </c>
      <c r="AG198">
        <v>18</v>
      </c>
      <c r="AH198">
        <v>18</v>
      </c>
      <c r="AI198">
        <v>18</v>
      </c>
      <c r="AJ198">
        <v>18</v>
      </c>
      <c r="AK198">
        <v>18</v>
      </c>
      <c r="AL198">
        <v>18</v>
      </c>
      <c r="AM198">
        <v>18</v>
      </c>
      <c r="AN198">
        <v>18</v>
      </c>
      <c r="AO198">
        <v>18</v>
      </c>
      <c r="AP198">
        <v>18</v>
      </c>
      <c r="AQ198">
        <v>18</v>
      </c>
      <c r="AR198">
        <v>18</v>
      </c>
      <c r="AS198">
        <v>18</v>
      </c>
      <c r="AT198">
        <v>18</v>
      </c>
      <c r="AU198">
        <v>18</v>
      </c>
      <c r="AV198">
        <v>18</v>
      </c>
      <c r="AW198">
        <v>18</v>
      </c>
      <c r="AX198">
        <v>18</v>
      </c>
      <c r="AY198">
        <v>18</v>
      </c>
      <c r="AZ198">
        <v>18</v>
      </c>
      <c r="BA198">
        <v>18</v>
      </c>
      <c r="BB198">
        <v>18</v>
      </c>
    </row>
    <row r="199" spans="1:54" hidden="1" x14ac:dyDescent="0.3">
      <c r="A199" t="s">
        <v>205</v>
      </c>
      <c r="B199" t="s">
        <v>163</v>
      </c>
      <c r="C199">
        <v>22.166699999999999</v>
      </c>
      <c r="D199">
        <v>113.55</v>
      </c>
      <c r="E199">
        <v>1</v>
      </c>
      <c r="F199">
        <v>2</v>
      </c>
      <c r="G199">
        <v>2</v>
      </c>
      <c r="H199">
        <v>2</v>
      </c>
      <c r="I199">
        <v>5</v>
      </c>
      <c r="J199">
        <v>6</v>
      </c>
      <c r="K199">
        <v>7</v>
      </c>
      <c r="L199">
        <v>7</v>
      </c>
      <c r="M199">
        <v>7</v>
      </c>
      <c r="N199">
        <v>7</v>
      </c>
      <c r="O199">
        <v>7</v>
      </c>
      <c r="P199">
        <v>8</v>
      </c>
      <c r="Q199">
        <v>8</v>
      </c>
      <c r="R199">
        <v>10</v>
      </c>
      <c r="S199">
        <v>10</v>
      </c>
      <c r="T199">
        <v>10</v>
      </c>
      <c r="U199">
        <v>10</v>
      </c>
      <c r="V199">
        <v>10</v>
      </c>
      <c r="W199">
        <v>10</v>
      </c>
      <c r="X199">
        <v>10</v>
      </c>
      <c r="Y199">
        <v>10</v>
      </c>
      <c r="Z199">
        <v>10</v>
      </c>
      <c r="AA199">
        <v>10</v>
      </c>
      <c r="AB199">
        <v>10</v>
      </c>
      <c r="AC199">
        <v>10</v>
      </c>
      <c r="AD199">
        <v>10</v>
      </c>
      <c r="AE199">
        <v>10</v>
      </c>
      <c r="AF199">
        <v>10</v>
      </c>
      <c r="AG199">
        <v>10</v>
      </c>
      <c r="AH199">
        <v>10</v>
      </c>
      <c r="AI199">
        <v>10</v>
      </c>
      <c r="AJ199">
        <v>10</v>
      </c>
      <c r="AK199">
        <v>10</v>
      </c>
      <c r="AL199">
        <v>10</v>
      </c>
      <c r="AM199">
        <v>10</v>
      </c>
      <c r="AN199">
        <v>10</v>
      </c>
      <c r="AO199">
        <v>10</v>
      </c>
      <c r="AP199">
        <v>10</v>
      </c>
      <c r="AQ199">
        <v>10</v>
      </c>
      <c r="AR199">
        <v>10</v>
      </c>
      <c r="AS199">
        <v>10</v>
      </c>
      <c r="AT199">
        <v>10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10</v>
      </c>
      <c r="BA199">
        <v>10</v>
      </c>
      <c r="BB199">
        <v>10</v>
      </c>
    </row>
    <row r="200" spans="1:54" hidden="1" x14ac:dyDescent="0.3">
      <c r="B200" t="s">
        <v>206</v>
      </c>
      <c r="C200">
        <v>47.4116</v>
      </c>
      <c r="D200">
        <v>28.369900000000001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3</v>
      </c>
      <c r="BB200">
        <v>3</v>
      </c>
    </row>
    <row r="201" spans="1:54" hidden="1" x14ac:dyDescent="0.3">
      <c r="B201" t="s">
        <v>207</v>
      </c>
      <c r="C201">
        <v>-16.290199999999999</v>
      </c>
      <c r="D201">
        <v>-63.588700000000003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2</v>
      </c>
    </row>
    <row r="202" spans="1:54" hidden="1" x14ac:dyDescent="0.3">
      <c r="A202" t="s">
        <v>208</v>
      </c>
      <c r="B202" t="s">
        <v>181</v>
      </c>
      <c r="C202">
        <v>61.892600000000002</v>
      </c>
      <c r="D202">
        <v>-6.9118000000000004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1</v>
      </c>
      <c r="AX202">
        <v>1</v>
      </c>
      <c r="AY202">
        <v>2</v>
      </c>
      <c r="AZ202">
        <v>2</v>
      </c>
      <c r="BA202">
        <v>2</v>
      </c>
      <c r="BB202">
        <v>2</v>
      </c>
    </row>
    <row r="203" spans="1:54" hidden="1" x14ac:dyDescent="0.3">
      <c r="A203" t="s">
        <v>209</v>
      </c>
      <c r="B203" t="s">
        <v>166</v>
      </c>
      <c r="C203">
        <v>18.070799999999998</v>
      </c>
      <c r="D203">
        <v>-63.0501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2</v>
      </c>
      <c r="BB203">
        <v>2</v>
      </c>
    </row>
    <row r="204" spans="1:54" hidden="1" x14ac:dyDescent="0.3">
      <c r="B204" t="s">
        <v>210</v>
      </c>
      <c r="C204">
        <v>15.2</v>
      </c>
      <c r="D204">
        <v>-86.241900000000001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2</v>
      </c>
    </row>
    <row r="205" spans="1:54" hidden="1" x14ac:dyDescent="0.3">
      <c r="A205" t="s">
        <v>211</v>
      </c>
      <c r="B205" t="s">
        <v>180</v>
      </c>
      <c r="C205">
        <v>49.372300000000003</v>
      </c>
      <c r="D205">
        <v>-2.3643999999999998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2</v>
      </c>
    </row>
    <row r="206" spans="1:54" hidden="1" x14ac:dyDescent="0.3">
      <c r="A206" t="s">
        <v>212</v>
      </c>
      <c r="B206" t="s">
        <v>10</v>
      </c>
      <c r="C206">
        <v>46.565300000000001</v>
      </c>
      <c r="D206">
        <v>-66.4619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</row>
    <row r="207" spans="1:54" hidden="1" x14ac:dyDescent="0.3">
      <c r="A207" t="s">
        <v>213</v>
      </c>
      <c r="B207" t="s">
        <v>163</v>
      </c>
      <c r="C207">
        <v>31.692699999999999</v>
      </c>
      <c r="D207">
        <v>88.092399999999998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</row>
    <row r="208" spans="1:54" hidden="1" x14ac:dyDescent="0.3">
      <c r="B208" t="s">
        <v>214</v>
      </c>
      <c r="C208">
        <v>-4.0382999999999996</v>
      </c>
      <c r="D208">
        <v>21.758700000000001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</row>
    <row r="209" spans="1:54" hidden="1" x14ac:dyDescent="0.3">
      <c r="B209" t="s">
        <v>215</v>
      </c>
      <c r="C209">
        <v>7.54</v>
      </c>
      <c r="D209">
        <v>-5.5471000000000004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</row>
    <row r="210" spans="1:54" hidden="1" x14ac:dyDescent="0.3">
      <c r="A210" t="s">
        <v>216</v>
      </c>
      <c r="B210" t="s">
        <v>166</v>
      </c>
      <c r="C210">
        <v>17.899999999999999</v>
      </c>
      <c r="D210">
        <v>-62.833300000000001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3</v>
      </c>
      <c r="AV210">
        <v>3</v>
      </c>
      <c r="AW210">
        <v>3</v>
      </c>
      <c r="AX210">
        <v>3</v>
      </c>
      <c r="AY210">
        <v>3</v>
      </c>
      <c r="AZ210">
        <v>1</v>
      </c>
      <c r="BA210">
        <v>1</v>
      </c>
      <c r="BB210">
        <v>1</v>
      </c>
    </row>
    <row r="211" spans="1:54" hidden="1" x14ac:dyDescent="0.3">
      <c r="B211" t="s">
        <v>217</v>
      </c>
      <c r="C211">
        <v>18.1096</v>
      </c>
      <c r="D211">
        <v>-77.297499999999999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</v>
      </c>
    </row>
    <row r="212" spans="1:54" hidden="1" x14ac:dyDescent="0.3">
      <c r="B212" t="s">
        <v>218</v>
      </c>
      <c r="C212">
        <v>-21.115100000000002</v>
      </c>
      <c r="D212">
        <v>55.5364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1</v>
      </c>
    </row>
    <row r="213" spans="1:54" hidden="1" x14ac:dyDescent="0.3">
      <c r="B213" t="s">
        <v>219</v>
      </c>
      <c r="C213">
        <v>38.963700000000003</v>
      </c>
      <c r="D213">
        <v>35.243299999999998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</row>
    <row r="214" spans="1:54" hidden="1" x14ac:dyDescent="0.3">
      <c r="A214" t="s">
        <v>220</v>
      </c>
      <c r="B214" t="s">
        <v>180</v>
      </c>
      <c r="C214">
        <v>36.140799999999999</v>
      </c>
      <c r="D214">
        <v>-5.3536000000000001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</row>
    <row r="215" spans="1:54" hidden="1" x14ac:dyDescent="0.3">
      <c r="A215" t="s">
        <v>221</v>
      </c>
      <c r="B215" t="s">
        <v>107</v>
      </c>
      <c r="C215">
        <v>47.6477</v>
      </c>
      <c r="D215">
        <v>-122.6413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2</v>
      </c>
    </row>
    <row r="216" spans="1:54" hidden="1" x14ac:dyDescent="0.3">
      <c r="A216" t="s">
        <v>222</v>
      </c>
      <c r="B216" t="s">
        <v>107</v>
      </c>
      <c r="C216">
        <v>38.310499999999998</v>
      </c>
      <c r="D216">
        <v>-121.90179999999999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3</v>
      </c>
      <c r="BB216">
        <v>3</v>
      </c>
    </row>
    <row r="217" spans="1:54" hidden="1" x14ac:dyDescent="0.3">
      <c r="A217" t="s">
        <v>223</v>
      </c>
      <c r="B217" t="s">
        <v>107</v>
      </c>
      <c r="C217">
        <v>37.045400000000001</v>
      </c>
      <c r="D217">
        <v>-121.958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2</v>
      </c>
      <c r="BB217">
        <v>2</v>
      </c>
    </row>
    <row r="218" spans="1:54" hidden="1" x14ac:dyDescent="0.3">
      <c r="A218" t="s">
        <v>224</v>
      </c>
      <c r="B218" t="s">
        <v>107</v>
      </c>
      <c r="C218">
        <v>38.502499999999998</v>
      </c>
      <c r="D218">
        <v>-122.2654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1</v>
      </c>
    </row>
    <row r="219" spans="1:54" hidden="1" x14ac:dyDescent="0.3">
      <c r="A219" t="s">
        <v>225</v>
      </c>
      <c r="B219" t="s">
        <v>107</v>
      </c>
      <c r="C219">
        <v>34.3705</v>
      </c>
      <c r="D219">
        <v>-119.1391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1</v>
      </c>
    </row>
    <row r="220" spans="1:54" hidden="1" x14ac:dyDescent="0.3">
      <c r="A220" t="s">
        <v>226</v>
      </c>
      <c r="B220" t="s">
        <v>107</v>
      </c>
      <c r="C220">
        <v>42.409700000000001</v>
      </c>
      <c r="D220">
        <v>-71.857100000000003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1</v>
      </c>
    </row>
    <row r="221" spans="1:54" hidden="1" x14ac:dyDescent="0.3">
      <c r="A221" t="s">
        <v>227</v>
      </c>
      <c r="B221" t="s">
        <v>107</v>
      </c>
      <c r="C221">
        <v>33.9191</v>
      </c>
      <c r="D221">
        <v>-84.0167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2</v>
      </c>
      <c r="BB221">
        <v>2</v>
      </c>
    </row>
    <row r="222" spans="1:54" hidden="1" x14ac:dyDescent="0.3">
      <c r="A222" t="s">
        <v>228</v>
      </c>
      <c r="B222" t="s">
        <v>107</v>
      </c>
      <c r="C222">
        <v>33.7956</v>
      </c>
      <c r="D222">
        <v>-84.227900000000005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</row>
    <row r="223" spans="1:54" hidden="1" x14ac:dyDescent="0.3">
      <c r="A223" t="s">
        <v>229</v>
      </c>
      <c r="B223" t="s">
        <v>107</v>
      </c>
      <c r="C223">
        <v>37.545499999999997</v>
      </c>
      <c r="D223">
        <v>-82.777900000000002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</row>
    <row r="224" spans="1:54" hidden="1" x14ac:dyDescent="0.3">
      <c r="A224" t="s">
        <v>230</v>
      </c>
      <c r="B224" t="s">
        <v>107</v>
      </c>
      <c r="C224">
        <v>33.450200000000002</v>
      </c>
      <c r="D224">
        <v>-84.4803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1</v>
      </c>
    </row>
    <row r="225" spans="1:54" hidden="1" x14ac:dyDescent="0.3">
      <c r="A225" t="s">
        <v>231</v>
      </c>
      <c r="B225" t="s">
        <v>107</v>
      </c>
      <c r="C225">
        <v>32.4893</v>
      </c>
      <c r="D225">
        <v>-94.852099999999993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1</v>
      </c>
    </row>
    <row r="226" spans="1:54" hidden="1" x14ac:dyDescent="0.3">
      <c r="A226" t="s">
        <v>232</v>
      </c>
      <c r="B226" t="s">
        <v>107</v>
      </c>
      <c r="C226">
        <v>40.258899999999997</v>
      </c>
      <c r="D226">
        <v>-74.123999999999995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2</v>
      </c>
      <c r="BB226">
        <v>4</v>
      </c>
    </row>
    <row r="227" spans="1:54" hidden="1" x14ac:dyDescent="0.3">
      <c r="A227" t="s">
        <v>233</v>
      </c>
      <c r="B227" t="s">
        <v>107</v>
      </c>
      <c r="C227">
        <v>40.071199999999997</v>
      </c>
      <c r="D227">
        <v>-74.864900000000006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2</v>
      </c>
      <c r="BB227">
        <v>2</v>
      </c>
    </row>
    <row r="228" spans="1:54" hidden="1" x14ac:dyDescent="0.3">
      <c r="A228" t="s">
        <v>234</v>
      </c>
      <c r="B228" t="s">
        <v>107</v>
      </c>
      <c r="C228">
        <v>39.925899999999999</v>
      </c>
      <c r="D228">
        <v>-75.119600000000005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1</v>
      </c>
    </row>
    <row r="229" spans="1:54" hidden="1" x14ac:dyDescent="0.3">
      <c r="A229" t="s">
        <v>235</v>
      </c>
      <c r="B229" t="s">
        <v>107</v>
      </c>
      <c r="C229">
        <v>40.8568</v>
      </c>
      <c r="D229">
        <v>-74.128500000000003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1</v>
      </c>
    </row>
    <row r="230" spans="1:54" hidden="1" x14ac:dyDescent="0.3">
      <c r="A230" t="s">
        <v>236</v>
      </c>
      <c r="B230" t="s">
        <v>107</v>
      </c>
      <c r="C230">
        <v>40.697600000000001</v>
      </c>
      <c r="D230">
        <v>-74.263199999999998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1</v>
      </c>
    </row>
    <row r="231" spans="1:54" hidden="1" x14ac:dyDescent="0.3">
      <c r="A231" t="s">
        <v>237</v>
      </c>
      <c r="B231" t="s">
        <v>107</v>
      </c>
      <c r="C231">
        <v>39.655299999999997</v>
      </c>
      <c r="D231">
        <v>-106.8287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2</v>
      </c>
      <c r="BB231">
        <v>4</v>
      </c>
    </row>
    <row r="232" spans="1:54" hidden="1" x14ac:dyDescent="0.3">
      <c r="A232" t="s">
        <v>238</v>
      </c>
      <c r="B232" t="s">
        <v>107</v>
      </c>
      <c r="C232">
        <v>40.695599999999999</v>
      </c>
      <c r="D232">
        <v>-105.5943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1</v>
      </c>
    </row>
    <row r="233" spans="1:54" hidden="1" x14ac:dyDescent="0.3">
      <c r="A233" t="s">
        <v>239</v>
      </c>
      <c r="B233" t="s">
        <v>107</v>
      </c>
      <c r="C233">
        <v>39.6203</v>
      </c>
      <c r="D233">
        <v>-104.3326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2</v>
      </c>
      <c r="BB233">
        <v>3</v>
      </c>
    </row>
    <row r="234" spans="1:54" hidden="1" x14ac:dyDescent="0.3">
      <c r="A234" t="s">
        <v>240</v>
      </c>
      <c r="B234" t="s">
        <v>107</v>
      </c>
      <c r="C234">
        <v>38.5458</v>
      </c>
      <c r="D234">
        <v>-106.92529999999999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5</v>
      </c>
    </row>
    <row r="235" spans="1:54" hidden="1" x14ac:dyDescent="0.3">
      <c r="A235" t="s">
        <v>241</v>
      </c>
      <c r="B235" t="s">
        <v>107</v>
      </c>
      <c r="C235">
        <v>41.987900000000003</v>
      </c>
      <c r="D235">
        <v>-88.401600000000002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1</v>
      </c>
    </row>
    <row r="236" spans="1:54" hidden="1" x14ac:dyDescent="0.3">
      <c r="A236" t="s">
        <v>242</v>
      </c>
      <c r="B236" t="s">
        <v>107</v>
      </c>
      <c r="C236">
        <v>41.0458</v>
      </c>
      <c r="D236">
        <v>-75.247900000000001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2</v>
      </c>
    </row>
    <row r="237" spans="1:54" hidden="1" x14ac:dyDescent="0.3">
      <c r="A237" t="s">
        <v>243</v>
      </c>
      <c r="B237" t="s">
        <v>107</v>
      </c>
      <c r="C237">
        <v>39.952599999999997</v>
      </c>
      <c r="D237">
        <v>-75.165199999999999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</v>
      </c>
      <c r="BB237">
        <v>1</v>
      </c>
    </row>
    <row r="238" spans="1:54" x14ac:dyDescent="0.3">
      <c r="A238" t="s">
        <v>244</v>
      </c>
      <c r="B238" t="s">
        <v>107</v>
      </c>
      <c r="C238">
        <v>36.8508</v>
      </c>
      <c r="D238">
        <v>-76.285899999999998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2</v>
      </c>
      <c r="BB238">
        <v>2</v>
      </c>
    </row>
    <row r="239" spans="1:54" x14ac:dyDescent="0.3">
      <c r="A239" t="s">
        <v>245</v>
      </c>
      <c r="B239" t="s">
        <v>107</v>
      </c>
      <c r="C239">
        <v>38.881599999999999</v>
      </c>
      <c r="D239">
        <v>-77.090999999999994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1</v>
      </c>
    </row>
    <row r="240" spans="1:54" x14ac:dyDescent="0.3">
      <c r="A240" t="s">
        <v>246</v>
      </c>
      <c r="B240" t="s">
        <v>107</v>
      </c>
      <c r="C240">
        <v>38.2042</v>
      </c>
      <c r="D240">
        <v>-77.607799999999997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  <c r="BB240">
        <v>1</v>
      </c>
    </row>
    <row r="241" spans="1:54" x14ac:dyDescent="0.3">
      <c r="A241" t="s">
        <v>247</v>
      </c>
      <c r="B241" t="s">
        <v>107</v>
      </c>
      <c r="C241">
        <v>39.076799999999999</v>
      </c>
      <c r="D241">
        <v>-77.653599999999997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1</v>
      </c>
    </row>
    <row r="242" spans="1:54" hidden="1" x14ac:dyDescent="0.3">
      <c r="A242" t="s">
        <v>248</v>
      </c>
      <c r="B242" t="s">
        <v>107</v>
      </c>
      <c r="C242">
        <v>38.7849</v>
      </c>
      <c r="D242">
        <v>-76.872100000000003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</v>
      </c>
      <c r="BB242">
        <v>3</v>
      </c>
    </row>
    <row r="243" spans="1:54" hidden="1" x14ac:dyDescent="0.3">
      <c r="A243" t="s">
        <v>249</v>
      </c>
      <c r="B243" t="s">
        <v>107</v>
      </c>
      <c r="C243">
        <v>41.391199999999998</v>
      </c>
      <c r="D243">
        <v>-95.477800000000002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1</v>
      </c>
    </row>
    <row r="244" spans="1:54" hidden="1" x14ac:dyDescent="0.3">
      <c r="A244" t="s">
        <v>250</v>
      </c>
      <c r="B244" t="s">
        <v>107</v>
      </c>
      <c r="C244">
        <v>34.246499999999997</v>
      </c>
      <c r="D244">
        <v>-80.606999999999999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4</v>
      </c>
      <c r="BB244">
        <v>4</v>
      </c>
    </row>
    <row r="245" spans="1:54" hidden="1" x14ac:dyDescent="0.3">
      <c r="A245" t="s">
        <v>251</v>
      </c>
      <c r="B245" t="s">
        <v>107</v>
      </c>
      <c r="C245">
        <v>32.057499999999997</v>
      </c>
      <c r="D245">
        <v>-111.6661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</v>
      </c>
      <c r="BB245">
        <v>1</v>
      </c>
    </row>
    <row r="246" spans="1:54" hidden="1" x14ac:dyDescent="0.3">
      <c r="A246" t="s">
        <v>252</v>
      </c>
      <c r="B246" t="s">
        <v>107</v>
      </c>
      <c r="C246">
        <v>41.427700000000002</v>
      </c>
      <c r="D246">
        <v>-85.355000000000004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</v>
      </c>
      <c r="BB246">
        <v>1</v>
      </c>
    </row>
    <row r="247" spans="1:54" hidden="1" x14ac:dyDescent="0.3">
      <c r="A247" t="s">
        <v>253</v>
      </c>
      <c r="B247" t="s">
        <v>107</v>
      </c>
      <c r="C247">
        <v>39.852200000000003</v>
      </c>
      <c r="D247">
        <v>-77.286500000000004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1</v>
      </c>
    </row>
    <row r="248" spans="1:54" hidden="1" x14ac:dyDescent="0.3">
      <c r="A248" t="s">
        <v>254</v>
      </c>
      <c r="B248" t="s">
        <v>107</v>
      </c>
      <c r="C248">
        <v>40.010599999999997</v>
      </c>
      <c r="D248">
        <v>-86.499700000000004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1</v>
      </c>
    </row>
    <row r="249" spans="1:54" hidden="1" x14ac:dyDescent="0.3">
      <c r="A249" t="s">
        <v>255</v>
      </c>
      <c r="B249" t="s">
        <v>107</v>
      </c>
      <c r="C249">
        <v>43.018599999999999</v>
      </c>
      <c r="D249">
        <v>-89.549800000000005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2</v>
      </c>
      <c r="BB249">
        <v>2</v>
      </c>
    </row>
    <row r="250" spans="1:54" hidden="1" x14ac:dyDescent="0.3">
      <c r="A250" t="s">
        <v>256</v>
      </c>
      <c r="B250" t="s">
        <v>107</v>
      </c>
      <c r="C250">
        <v>44.750900000000001</v>
      </c>
      <c r="D250">
        <v>-92.381399999999999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2</v>
      </c>
    </row>
    <row r="251" spans="1:54" hidden="1" x14ac:dyDescent="0.3">
      <c r="A251" t="s">
        <v>257</v>
      </c>
      <c r="B251" t="s">
        <v>107</v>
      </c>
      <c r="C251">
        <v>41.433900000000001</v>
      </c>
      <c r="D251">
        <v>-81.675799999999995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3</v>
      </c>
      <c r="BB251">
        <v>3</v>
      </c>
    </row>
    <row r="252" spans="1:54" hidden="1" x14ac:dyDescent="0.3">
      <c r="A252" t="s">
        <v>258</v>
      </c>
      <c r="B252" t="s">
        <v>107</v>
      </c>
      <c r="C252">
        <v>41.260300000000001</v>
      </c>
      <c r="D252">
        <v>-111.9522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1</v>
      </c>
    </row>
    <row r="253" spans="1:54" hidden="1" x14ac:dyDescent="0.3">
      <c r="A253" t="s">
        <v>259</v>
      </c>
      <c r="B253" t="s">
        <v>107</v>
      </c>
      <c r="C253">
        <v>43.027900000000002</v>
      </c>
      <c r="D253">
        <v>-73.135000000000005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1</v>
      </c>
      <c r="BA253">
        <v>1</v>
      </c>
      <c r="BB253">
        <v>1</v>
      </c>
    </row>
    <row r="254" spans="1:54" hidden="1" x14ac:dyDescent="0.3">
      <c r="A254" t="s">
        <v>260</v>
      </c>
      <c r="B254" t="s">
        <v>107</v>
      </c>
      <c r="C254">
        <v>44.825400000000002</v>
      </c>
      <c r="D254">
        <v>-93.784199999999998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1</v>
      </c>
      <c r="BB254">
        <v>1</v>
      </c>
    </row>
    <row r="255" spans="1:54" hidden="1" x14ac:dyDescent="0.3">
      <c r="A255" t="s">
        <v>261</v>
      </c>
      <c r="B255" t="s">
        <v>107</v>
      </c>
      <c r="C255">
        <v>26.894600000000001</v>
      </c>
      <c r="D255">
        <v>-81.909800000000004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1</v>
      </c>
      <c r="BB255">
        <v>1</v>
      </c>
    </row>
    <row r="256" spans="1:54" hidden="1" x14ac:dyDescent="0.3">
      <c r="A256" t="s">
        <v>262</v>
      </c>
      <c r="B256" t="s">
        <v>107</v>
      </c>
      <c r="C256">
        <v>34.2515</v>
      </c>
      <c r="D256">
        <v>-84.4803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1</v>
      </c>
      <c r="BB256">
        <v>1</v>
      </c>
    </row>
    <row r="257" spans="1:54" hidden="1" x14ac:dyDescent="0.3">
      <c r="A257" t="s">
        <v>263</v>
      </c>
      <c r="B257" t="s">
        <v>107</v>
      </c>
      <c r="C257">
        <v>33.179499999999997</v>
      </c>
      <c r="D257">
        <v>-96.492999999999995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3</v>
      </c>
      <c r="BB257">
        <v>3</v>
      </c>
    </row>
    <row r="258" spans="1:54" hidden="1" x14ac:dyDescent="0.3">
      <c r="A258" t="s">
        <v>264</v>
      </c>
      <c r="B258" t="s">
        <v>107</v>
      </c>
      <c r="C258">
        <v>38.193800000000003</v>
      </c>
      <c r="D258">
        <v>-85.643500000000003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1</v>
      </c>
      <c r="BB258">
        <v>1</v>
      </c>
    </row>
    <row r="259" spans="1:54" hidden="1" x14ac:dyDescent="0.3">
      <c r="A259" t="s">
        <v>265</v>
      </c>
      <c r="B259" t="s">
        <v>107</v>
      </c>
      <c r="C259">
        <v>29.649899999999999</v>
      </c>
      <c r="D259">
        <v>-90.112099999999998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1</v>
      </c>
      <c r="BB259">
        <v>1</v>
      </c>
    </row>
    <row r="260" spans="1:54" hidden="1" x14ac:dyDescent="0.3">
      <c r="A260" t="s">
        <v>266</v>
      </c>
      <c r="B260" t="s">
        <v>107</v>
      </c>
      <c r="C260">
        <v>40.790900000000001</v>
      </c>
      <c r="D260">
        <v>-121.84739999999999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1</v>
      </c>
      <c r="BB260">
        <v>1</v>
      </c>
    </row>
    <row r="261" spans="1:54" hidden="1" x14ac:dyDescent="0.3">
      <c r="A261" t="s">
        <v>267</v>
      </c>
      <c r="B261" t="s">
        <v>107</v>
      </c>
      <c r="C261">
        <v>34.860599999999998</v>
      </c>
      <c r="D261">
        <v>-81.953500000000005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v>1</v>
      </c>
      <c r="BB261">
        <v>1</v>
      </c>
    </row>
    <row r="262" spans="1:54" hidden="1" x14ac:dyDescent="0.3">
      <c r="A262" t="s">
        <v>268</v>
      </c>
      <c r="B262" t="s">
        <v>107</v>
      </c>
      <c r="C262">
        <v>38.433300000000003</v>
      </c>
      <c r="D262">
        <v>-84.354200000000006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2</v>
      </c>
      <c r="BA262">
        <v>2</v>
      </c>
      <c r="BB262">
        <v>5</v>
      </c>
    </row>
    <row r="263" spans="1:54" hidden="1" x14ac:dyDescent="0.3">
      <c r="A263" t="s">
        <v>269</v>
      </c>
      <c r="B263" t="s">
        <v>107</v>
      </c>
      <c r="C263">
        <v>41.669899999999998</v>
      </c>
      <c r="D263">
        <v>-91.598399999999998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</v>
      </c>
      <c r="BA263">
        <v>7</v>
      </c>
      <c r="BB263">
        <v>12</v>
      </c>
    </row>
    <row r="264" spans="1:54" hidden="1" x14ac:dyDescent="0.3">
      <c r="A264" t="s">
        <v>270</v>
      </c>
      <c r="B264" t="s">
        <v>107</v>
      </c>
      <c r="C264">
        <v>42.311799999999998</v>
      </c>
      <c r="D264">
        <v>-73.182199999999995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5</v>
      </c>
      <c r="BB264">
        <v>7</v>
      </c>
    </row>
    <row r="265" spans="1:54" hidden="1" x14ac:dyDescent="0.3">
      <c r="A265" t="s">
        <v>271</v>
      </c>
      <c r="B265" t="s">
        <v>107</v>
      </c>
      <c r="C265">
        <v>36.134300000000003</v>
      </c>
      <c r="D265">
        <v>-86.822000000000003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1</v>
      </c>
      <c r="BB265">
        <v>2</v>
      </c>
    </row>
    <row r="266" spans="1:54" hidden="1" x14ac:dyDescent="0.3">
      <c r="A266" t="s">
        <v>272</v>
      </c>
      <c r="B266" t="s">
        <v>107</v>
      </c>
      <c r="C266">
        <v>43.126100000000001</v>
      </c>
      <c r="D266">
        <v>-123.2492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1</v>
      </c>
      <c r="BB266">
        <v>1</v>
      </c>
    </row>
    <row r="267" spans="1:54" hidden="1" x14ac:dyDescent="0.3">
      <c r="A267" t="s">
        <v>273</v>
      </c>
      <c r="B267" t="s">
        <v>107</v>
      </c>
      <c r="C267">
        <v>36.985900000000001</v>
      </c>
      <c r="D267">
        <v>-119.2321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1</v>
      </c>
      <c r="BB267">
        <v>2</v>
      </c>
    </row>
    <row r="268" spans="1:54" hidden="1" x14ac:dyDescent="0.3">
      <c r="A268" t="s">
        <v>274</v>
      </c>
      <c r="B268" t="s">
        <v>107</v>
      </c>
      <c r="C268">
        <v>39.5839</v>
      </c>
      <c r="D268">
        <v>-76.363699999999994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1</v>
      </c>
      <c r="BB268">
        <v>1</v>
      </c>
    </row>
    <row r="269" spans="1:54" hidden="1" x14ac:dyDescent="0.3">
      <c r="A269" t="s">
        <v>275</v>
      </c>
      <c r="B269" t="s">
        <v>107</v>
      </c>
      <c r="C269">
        <v>39.8065</v>
      </c>
      <c r="D269">
        <v>-86.540099999999995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2</v>
      </c>
      <c r="BA269">
        <v>2</v>
      </c>
      <c r="BB269">
        <v>2</v>
      </c>
    </row>
    <row r="270" spans="1:54" hidden="1" x14ac:dyDescent="0.3">
      <c r="A270" t="s">
        <v>276</v>
      </c>
      <c r="B270" t="s">
        <v>107</v>
      </c>
      <c r="C270">
        <v>40.7453</v>
      </c>
      <c r="D270">
        <v>-74.0535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1</v>
      </c>
      <c r="BB270">
        <v>1</v>
      </c>
    </row>
    <row r="271" spans="1:54" hidden="1" x14ac:dyDescent="0.3">
      <c r="A271" t="s">
        <v>277</v>
      </c>
      <c r="B271" t="s">
        <v>107</v>
      </c>
      <c r="C271">
        <v>38.845399999999998</v>
      </c>
      <c r="D271">
        <v>-94.852099999999993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1</v>
      </c>
      <c r="BB271">
        <v>1</v>
      </c>
    </row>
    <row r="272" spans="1:54" hidden="1" x14ac:dyDescent="0.3">
      <c r="A272" t="s">
        <v>278</v>
      </c>
      <c r="B272" t="s">
        <v>107</v>
      </c>
      <c r="C272">
        <v>47.174999999999997</v>
      </c>
      <c r="D272">
        <v>-120.9319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1</v>
      </c>
      <c r="BB272">
        <v>1</v>
      </c>
    </row>
    <row r="273" spans="1:54" hidden="1" x14ac:dyDescent="0.3">
      <c r="A273" t="s">
        <v>279</v>
      </c>
      <c r="B273" t="s">
        <v>107</v>
      </c>
      <c r="C273">
        <v>27.479900000000001</v>
      </c>
      <c r="D273">
        <v>-82.345200000000006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2</v>
      </c>
      <c r="BA273">
        <v>2</v>
      </c>
      <c r="BB273">
        <v>2</v>
      </c>
    </row>
    <row r="274" spans="1:54" hidden="1" x14ac:dyDescent="0.3">
      <c r="A274" t="s">
        <v>280</v>
      </c>
      <c r="B274" t="s">
        <v>107</v>
      </c>
      <c r="C274">
        <v>44.8446</v>
      </c>
      <c r="D274">
        <v>-122.59269999999999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1</v>
      </c>
      <c r="BB274">
        <v>2</v>
      </c>
    </row>
    <row r="275" spans="1:54" hidden="1" x14ac:dyDescent="0.3">
      <c r="A275" t="s">
        <v>281</v>
      </c>
      <c r="B275" t="s">
        <v>107</v>
      </c>
      <c r="C275">
        <v>30.577300000000001</v>
      </c>
      <c r="D275">
        <v>-86.661100000000005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1</v>
      </c>
      <c r="BB275">
        <v>1</v>
      </c>
    </row>
    <row r="276" spans="1:54" hidden="1" x14ac:dyDescent="0.3">
      <c r="A276" t="s">
        <v>282</v>
      </c>
      <c r="B276" t="s">
        <v>107</v>
      </c>
      <c r="C276">
        <v>34.013199999999998</v>
      </c>
      <c r="D276">
        <v>-85.147900000000007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</row>
    <row r="277" spans="1:54" hidden="1" x14ac:dyDescent="0.3">
      <c r="A277" t="s">
        <v>283</v>
      </c>
      <c r="B277" t="s">
        <v>107</v>
      </c>
      <c r="C277">
        <v>33.953299999999999</v>
      </c>
      <c r="D277">
        <v>-117.3961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4</v>
      </c>
      <c r="BB277">
        <v>6</v>
      </c>
    </row>
    <row r="278" spans="1:54" hidden="1" x14ac:dyDescent="0.3">
      <c r="A278" t="s">
        <v>284</v>
      </c>
      <c r="B278" t="s">
        <v>107</v>
      </c>
      <c r="C278">
        <v>35.126899999999999</v>
      </c>
      <c r="D278">
        <v>-89.925299999999993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1</v>
      </c>
      <c r="BB278">
        <v>1</v>
      </c>
    </row>
    <row r="279" spans="1:54" hidden="1" x14ac:dyDescent="0.3">
      <c r="A279" t="s">
        <v>285</v>
      </c>
      <c r="B279" t="s">
        <v>107</v>
      </c>
      <c r="C279">
        <v>38.610300000000002</v>
      </c>
      <c r="D279">
        <v>-90.412499999999994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1</v>
      </c>
      <c r="BB279">
        <v>1</v>
      </c>
    </row>
    <row r="280" spans="1:54" hidden="1" x14ac:dyDescent="0.3">
      <c r="A280" t="s">
        <v>286</v>
      </c>
      <c r="B280" t="s">
        <v>107</v>
      </c>
      <c r="C280">
        <v>40.984900000000003</v>
      </c>
      <c r="D280">
        <v>-72.615099999999998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1</v>
      </c>
      <c r="BB280">
        <v>6</v>
      </c>
    </row>
    <row r="281" spans="1:54" hidden="1" x14ac:dyDescent="0.3">
      <c r="A281" t="s">
        <v>287</v>
      </c>
      <c r="B281" t="s">
        <v>107</v>
      </c>
      <c r="C281">
        <v>41.858600000000003</v>
      </c>
      <c r="D281">
        <v>-74.311800000000005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1</v>
      </c>
      <c r="BA281">
        <v>1</v>
      </c>
      <c r="BB281">
        <v>2</v>
      </c>
    </row>
    <row r="282" spans="1:54" hidden="1" x14ac:dyDescent="0.3">
      <c r="A282" t="s">
        <v>288</v>
      </c>
      <c r="B282" t="s">
        <v>107</v>
      </c>
      <c r="C282">
        <v>29.027999999999999</v>
      </c>
      <c r="D282">
        <v>-81.075500000000005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1</v>
      </c>
      <c r="BA282">
        <v>2</v>
      </c>
      <c r="BB282">
        <v>2</v>
      </c>
    </row>
    <row r="283" spans="1:54" x14ac:dyDescent="0.3">
      <c r="A283" t="s">
        <v>289</v>
      </c>
      <c r="B283" t="s">
        <v>107</v>
      </c>
      <c r="C283">
        <v>38.908499999999997</v>
      </c>
      <c r="D283">
        <v>-77.240499999999997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2</v>
      </c>
      <c r="AZ283">
        <v>2</v>
      </c>
      <c r="BA283">
        <v>3</v>
      </c>
      <c r="BB283">
        <v>3</v>
      </c>
    </row>
    <row r="284" spans="1:54" hidden="1" x14ac:dyDescent="0.3">
      <c r="A284" t="s">
        <v>290</v>
      </c>
      <c r="B284" t="s">
        <v>107</v>
      </c>
      <c r="C284">
        <v>42.993099999999998</v>
      </c>
      <c r="D284">
        <v>-71.049800000000005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1</v>
      </c>
      <c r="BB284">
        <v>2</v>
      </c>
    </row>
    <row r="285" spans="1:54" hidden="1" x14ac:dyDescent="0.3">
      <c r="A285" t="s">
        <v>291</v>
      </c>
      <c r="B285" t="s">
        <v>107</v>
      </c>
      <c r="C285">
        <v>38.907200000000003</v>
      </c>
      <c r="D285">
        <v>-77.036900000000003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2</v>
      </c>
      <c r="AZ285">
        <v>2</v>
      </c>
      <c r="BA285">
        <v>4</v>
      </c>
      <c r="BB285">
        <v>4</v>
      </c>
    </row>
    <row r="286" spans="1:54" hidden="1" x14ac:dyDescent="0.3">
      <c r="A286" t="s">
        <v>292</v>
      </c>
      <c r="B286" t="s">
        <v>107</v>
      </c>
      <c r="C286">
        <v>40.228999999999999</v>
      </c>
      <c r="D286">
        <v>-75.387900000000002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4</v>
      </c>
      <c r="AZ286">
        <v>5</v>
      </c>
      <c r="BA286">
        <v>8</v>
      </c>
      <c r="BB286">
        <v>9</v>
      </c>
    </row>
    <row r="287" spans="1:54" hidden="1" x14ac:dyDescent="0.3">
      <c r="A287" t="s">
        <v>293</v>
      </c>
      <c r="B287" t="s">
        <v>107</v>
      </c>
      <c r="C287">
        <v>37.601700000000001</v>
      </c>
      <c r="D287">
        <v>-121.7195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</v>
      </c>
      <c r="AU287">
        <v>1</v>
      </c>
      <c r="AV287">
        <v>1</v>
      </c>
      <c r="AW287">
        <v>1</v>
      </c>
      <c r="AX287">
        <v>2</v>
      </c>
      <c r="AY287">
        <v>2</v>
      </c>
      <c r="AZ287">
        <v>2</v>
      </c>
      <c r="BA287">
        <v>3</v>
      </c>
      <c r="BB287">
        <v>5</v>
      </c>
    </row>
    <row r="288" spans="1:54" hidden="1" x14ac:dyDescent="0.3">
      <c r="A288" t="s">
        <v>294</v>
      </c>
      <c r="B288" t="s">
        <v>107</v>
      </c>
      <c r="C288">
        <v>26.190100000000001</v>
      </c>
      <c r="D288">
        <v>-80.365899999999996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3</v>
      </c>
      <c r="BA288">
        <v>4</v>
      </c>
      <c r="BB288">
        <v>4</v>
      </c>
    </row>
    <row r="289" spans="1:54" hidden="1" x14ac:dyDescent="0.3">
      <c r="A289" t="s">
        <v>295</v>
      </c>
      <c r="B289" t="s">
        <v>107</v>
      </c>
      <c r="C289">
        <v>26.663</v>
      </c>
      <c r="D289">
        <v>-81.953500000000005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2</v>
      </c>
      <c r="BA289">
        <v>2</v>
      </c>
      <c r="BB289">
        <v>2</v>
      </c>
    </row>
    <row r="290" spans="1:54" hidden="1" x14ac:dyDescent="0.3">
      <c r="A290" t="s">
        <v>296</v>
      </c>
      <c r="B290" t="s">
        <v>107</v>
      </c>
      <c r="C290">
        <v>32.816200000000002</v>
      </c>
      <c r="D290">
        <v>-111.28449999999999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</v>
      </c>
      <c r="AY290">
        <v>2</v>
      </c>
      <c r="AZ290">
        <v>2</v>
      </c>
      <c r="BA290">
        <v>3</v>
      </c>
      <c r="BB290">
        <v>5</v>
      </c>
    </row>
    <row r="291" spans="1:54" hidden="1" x14ac:dyDescent="0.3">
      <c r="A291" t="s">
        <v>297</v>
      </c>
      <c r="B291" t="s">
        <v>107</v>
      </c>
      <c r="C291">
        <v>41.148899999999998</v>
      </c>
      <c r="D291">
        <v>-73.983000000000004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2</v>
      </c>
      <c r="AY291">
        <v>2</v>
      </c>
      <c r="AZ291">
        <v>4</v>
      </c>
      <c r="BA291">
        <v>4</v>
      </c>
      <c r="BB291">
        <v>6</v>
      </c>
    </row>
    <row r="292" spans="1:54" hidden="1" x14ac:dyDescent="0.3">
      <c r="A292" t="s">
        <v>298</v>
      </c>
      <c r="B292" t="s">
        <v>107</v>
      </c>
      <c r="C292">
        <v>43.032400000000003</v>
      </c>
      <c r="D292">
        <v>-73.936000000000007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2</v>
      </c>
      <c r="AY292">
        <v>2</v>
      </c>
      <c r="AZ292">
        <v>2</v>
      </c>
      <c r="BA292">
        <v>2</v>
      </c>
      <c r="BB292">
        <v>2</v>
      </c>
    </row>
    <row r="293" spans="1:54" hidden="1" x14ac:dyDescent="0.3">
      <c r="A293" t="s">
        <v>299</v>
      </c>
      <c r="B293" t="s">
        <v>107</v>
      </c>
      <c r="C293">
        <v>32.795699999999997</v>
      </c>
      <c r="D293">
        <v>-79.784800000000004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1</v>
      </c>
      <c r="BB293">
        <v>1</v>
      </c>
    </row>
    <row r="294" spans="1:54" hidden="1" x14ac:dyDescent="0.3">
      <c r="A294" t="s">
        <v>300</v>
      </c>
      <c r="B294" t="s">
        <v>107</v>
      </c>
      <c r="C294">
        <v>45.746600000000001</v>
      </c>
      <c r="D294">
        <v>-122.5194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1</v>
      </c>
      <c r="BB294">
        <v>1</v>
      </c>
    </row>
    <row r="295" spans="1:54" hidden="1" x14ac:dyDescent="0.3">
      <c r="A295" t="s">
        <v>301</v>
      </c>
      <c r="B295" t="s">
        <v>107</v>
      </c>
      <c r="C295">
        <v>33.899900000000002</v>
      </c>
      <c r="D295">
        <v>-84.564099999999996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3</v>
      </c>
      <c r="BA295">
        <v>4</v>
      </c>
      <c r="BB295">
        <v>7</v>
      </c>
    </row>
    <row r="296" spans="1:54" hidden="1" x14ac:dyDescent="0.3">
      <c r="A296" t="s">
        <v>302</v>
      </c>
      <c r="B296" t="s">
        <v>107</v>
      </c>
      <c r="C296">
        <v>40.962899999999998</v>
      </c>
      <c r="D296">
        <v>-112.09529999999999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1</v>
      </c>
      <c r="BB296">
        <v>1</v>
      </c>
    </row>
    <row r="297" spans="1:54" hidden="1" x14ac:dyDescent="0.3">
      <c r="A297" t="s">
        <v>303</v>
      </c>
      <c r="B297" t="s">
        <v>107</v>
      </c>
      <c r="C297">
        <v>38.910800000000002</v>
      </c>
      <c r="D297">
        <v>-104.4723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1</v>
      </c>
      <c r="BB297">
        <v>1</v>
      </c>
    </row>
    <row r="298" spans="1:54" hidden="1" x14ac:dyDescent="0.3">
      <c r="A298" t="s">
        <v>304</v>
      </c>
      <c r="B298" t="s">
        <v>107</v>
      </c>
      <c r="C298">
        <v>21.306999999999999</v>
      </c>
      <c r="D298">
        <v>-157.85839999999999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2</v>
      </c>
      <c r="BB298">
        <v>2</v>
      </c>
    </row>
    <row r="299" spans="1:54" hidden="1" x14ac:dyDescent="0.3">
      <c r="A299" t="s">
        <v>305</v>
      </c>
      <c r="B299" t="s">
        <v>107</v>
      </c>
      <c r="C299">
        <v>42.334499999999998</v>
      </c>
      <c r="D299">
        <v>-122.7647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2</v>
      </c>
      <c r="AZ299">
        <v>2</v>
      </c>
      <c r="BA299">
        <v>2</v>
      </c>
      <c r="BB299">
        <v>2</v>
      </c>
    </row>
    <row r="300" spans="1:54" hidden="1" x14ac:dyDescent="0.3">
      <c r="A300" t="s">
        <v>306</v>
      </c>
      <c r="B300" t="s">
        <v>107</v>
      </c>
      <c r="C300">
        <v>47.7425</v>
      </c>
      <c r="D300">
        <v>-123.304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1</v>
      </c>
      <c r="BB300">
        <v>1</v>
      </c>
    </row>
    <row r="301" spans="1:54" hidden="1" x14ac:dyDescent="0.3">
      <c r="A301" t="s">
        <v>307</v>
      </c>
      <c r="B301" t="s">
        <v>107</v>
      </c>
      <c r="C301">
        <v>34.367199999999997</v>
      </c>
      <c r="D301">
        <v>-80.588300000000004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1</v>
      </c>
      <c r="BB301">
        <v>3</v>
      </c>
    </row>
    <row r="302" spans="1:54" hidden="1" x14ac:dyDescent="0.3">
      <c r="A302" t="s">
        <v>308</v>
      </c>
      <c r="B302" t="s">
        <v>107</v>
      </c>
      <c r="C302">
        <v>42.695300000000003</v>
      </c>
      <c r="D302">
        <v>-121.6142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1</v>
      </c>
      <c r="BA302">
        <v>1</v>
      </c>
      <c r="BB302">
        <v>1</v>
      </c>
    </row>
    <row r="303" spans="1:54" hidden="1" x14ac:dyDescent="0.3">
      <c r="A303" t="s">
        <v>309</v>
      </c>
      <c r="B303" t="s">
        <v>107</v>
      </c>
      <c r="C303">
        <v>37.251899999999999</v>
      </c>
      <c r="D303">
        <v>-119.69629999999999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</v>
      </c>
      <c r="AY303">
        <v>1</v>
      </c>
      <c r="AZ303">
        <v>1</v>
      </c>
      <c r="BA303">
        <v>1</v>
      </c>
      <c r="BB303">
        <v>1</v>
      </c>
    </row>
    <row r="304" spans="1:54" hidden="1" x14ac:dyDescent="0.3">
      <c r="A304" t="s">
        <v>310</v>
      </c>
      <c r="B304" t="s">
        <v>107</v>
      </c>
      <c r="C304">
        <v>47.067599999999999</v>
      </c>
      <c r="D304">
        <v>-122.12949999999999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4</v>
      </c>
      <c r="AZ304">
        <v>4</v>
      </c>
      <c r="BA304">
        <v>4</v>
      </c>
      <c r="BB304">
        <v>14</v>
      </c>
    </row>
    <row r="305" spans="1:54" hidden="1" x14ac:dyDescent="0.3">
      <c r="A305" t="s">
        <v>311</v>
      </c>
      <c r="B305" t="s">
        <v>107</v>
      </c>
      <c r="C305">
        <v>36.159300000000002</v>
      </c>
      <c r="D305">
        <v>-95.941000000000003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1</v>
      </c>
      <c r="AZ305">
        <v>1</v>
      </c>
      <c r="BA305">
        <v>2</v>
      </c>
      <c r="BB305">
        <v>2</v>
      </c>
    </row>
    <row r="306" spans="1:54" hidden="1" x14ac:dyDescent="0.3">
      <c r="A306" t="s">
        <v>312</v>
      </c>
      <c r="B306" t="s">
        <v>107</v>
      </c>
      <c r="C306">
        <v>39.258699999999997</v>
      </c>
      <c r="D306">
        <v>-104.9389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3</v>
      </c>
      <c r="AY306">
        <v>3</v>
      </c>
      <c r="AZ306">
        <v>3</v>
      </c>
      <c r="BA306">
        <v>3</v>
      </c>
      <c r="BB306">
        <v>3</v>
      </c>
    </row>
    <row r="307" spans="1:54" hidden="1" x14ac:dyDescent="0.3">
      <c r="A307" t="s">
        <v>313</v>
      </c>
      <c r="B307" t="s">
        <v>107</v>
      </c>
      <c r="C307">
        <v>41.888199999999998</v>
      </c>
      <c r="D307">
        <v>-71.477400000000003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2</v>
      </c>
      <c r="AT307">
        <v>2</v>
      </c>
      <c r="AU307">
        <v>2</v>
      </c>
      <c r="AV307">
        <v>2</v>
      </c>
      <c r="AW307">
        <v>2</v>
      </c>
      <c r="AX307">
        <v>3</v>
      </c>
      <c r="AY307">
        <v>3</v>
      </c>
      <c r="AZ307">
        <v>3</v>
      </c>
      <c r="BA307">
        <v>3</v>
      </c>
      <c r="BB307">
        <v>5</v>
      </c>
    </row>
    <row r="308" spans="1:54" hidden="1" x14ac:dyDescent="0.3">
      <c r="A308" t="s">
        <v>314</v>
      </c>
      <c r="B308" t="s">
        <v>107</v>
      </c>
      <c r="C308">
        <v>35.7211</v>
      </c>
      <c r="D308">
        <v>-79.178100000000001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</row>
    <row r="309" spans="1:54" hidden="1" x14ac:dyDescent="0.3">
      <c r="A309" t="s">
        <v>315</v>
      </c>
      <c r="B309" t="s">
        <v>107</v>
      </c>
      <c r="C309">
        <v>39.907800000000002</v>
      </c>
      <c r="D309">
        <v>-75.387900000000002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</row>
    <row r="310" spans="1:54" hidden="1" x14ac:dyDescent="0.3">
      <c r="A310" t="s">
        <v>316</v>
      </c>
      <c r="B310" t="s">
        <v>107</v>
      </c>
      <c r="C310">
        <v>41.314799999999998</v>
      </c>
      <c r="D310">
        <v>-96.195099999999996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1</v>
      </c>
      <c r="AZ310">
        <v>3</v>
      </c>
      <c r="BA310">
        <v>3</v>
      </c>
      <c r="BB310">
        <v>4</v>
      </c>
    </row>
    <row r="311" spans="1:54" hidden="1" x14ac:dyDescent="0.3">
      <c r="A311" t="s">
        <v>317</v>
      </c>
      <c r="B311" t="s">
        <v>107</v>
      </c>
      <c r="C311">
        <v>38.060600000000001</v>
      </c>
      <c r="D311">
        <v>-84.4803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2</v>
      </c>
      <c r="BB311">
        <v>2</v>
      </c>
    </row>
    <row r="312" spans="1:54" hidden="1" x14ac:dyDescent="0.3">
      <c r="A312" t="s">
        <v>318</v>
      </c>
      <c r="B312" t="s">
        <v>107</v>
      </c>
      <c r="C312">
        <v>39.836199999999998</v>
      </c>
      <c r="D312">
        <v>-86.175200000000004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</row>
    <row r="313" spans="1:54" hidden="1" x14ac:dyDescent="0.3">
      <c r="A313" t="s">
        <v>319</v>
      </c>
      <c r="B313" t="s">
        <v>107</v>
      </c>
      <c r="C313">
        <v>42.467199999999998</v>
      </c>
      <c r="D313">
        <v>-71.287400000000005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7</v>
      </c>
      <c r="AZ313">
        <v>7</v>
      </c>
      <c r="BA313">
        <v>15</v>
      </c>
      <c r="BB313">
        <v>41</v>
      </c>
    </row>
    <row r="314" spans="1:54" hidden="1" x14ac:dyDescent="0.3">
      <c r="A314" t="s">
        <v>320</v>
      </c>
      <c r="B314" t="s">
        <v>107</v>
      </c>
      <c r="C314">
        <v>40.654600000000002</v>
      </c>
      <c r="D314">
        <v>-73.559399999999997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1</v>
      </c>
      <c r="AX314">
        <v>4</v>
      </c>
      <c r="AY314">
        <v>5</v>
      </c>
      <c r="AZ314">
        <v>17</v>
      </c>
      <c r="BA314">
        <v>19</v>
      </c>
      <c r="BB314">
        <v>28</v>
      </c>
    </row>
    <row r="315" spans="1:54" hidden="1" x14ac:dyDescent="0.3">
      <c r="A315" t="s">
        <v>321</v>
      </c>
      <c r="B315" t="s">
        <v>107</v>
      </c>
      <c r="C315">
        <v>44.996400000000001</v>
      </c>
      <c r="D315">
        <v>-93.061599999999999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2</v>
      </c>
    </row>
    <row r="316" spans="1:54" hidden="1" x14ac:dyDescent="0.3">
      <c r="A316" t="s">
        <v>322</v>
      </c>
      <c r="B316" t="s">
        <v>107</v>
      </c>
      <c r="C316">
        <v>40.5608</v>
      </c>
      <c r="D316">
        <v>-119.6035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2</v>
      </c>
      <c r="AZ316">
        <v>2</v>
      </c>
      <c r="BA316">
        <v>2</v>
      </c>
      <c r="BB316">
        <v>2</v>
      </c>
    </row>
    <row r="317" spans="1:54" hidden="1" x14ac:dyDescent="0.3">
      <c r="A317" t="s">
        <v>323</v>
      </c>
      <c r="B317" t="s">
        <v>107</v>
      </c>
      <c r="C317">
        <v>41.673900000000003</v>
      </c>
      <c r="D317">
        <v>-75.247900000000001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</row>
    <row r="318" spans="1:54" hidden="1" x14ac:dyDescent="0.3">
      <c r="A318" t="s">
        <v>324</v>
      </c>
      <c r="B318" t="s">
        <v>107</v>
      </c>
      <c r="C318">
        <v>38.764600000000002</v>
      </c>
      <c r="D318">
        <v>-121.90179999999999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</row>
    <row r="319" spans="1:54" hidden="1" x14ac:dyDescent="0.3">
      <c r="A319" t="s">
        <v>325</v>
      </c>
      <c r="B319" t="s">
        <v>107</v>
      </c>
      <c r="C319">
        <v>37.354100000000003</v>
      </c>
      <c r="D319">
        <v>-121.9552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1</v>
      </c>
      <c r="Q319">
        <v>2</v>
      </c>
      <c r="R319">
        <v>2</v>
      </c>
      <c r="S319">
        <v>2</v>
      </c>
      <c r="T319">
        <v>2</v>
      </c>
      <c r="U319">
        <v>2</v>
      </c>
      <c r="V319">
        <v>2</v>
      </c>
      <c r="W319">
        <v>2</v>
      </c>
      <c r="X319">
        <v>2</v>
      </c>
      <c r="Y319">
        <v>2</v>
      </c>
      <c r="Z319">
        <v>2</v>
      </c>
      <c r="AA319">
        <v>2</v>
      </c>
      <c r="AB319">
        <v>2</v>
      </c>
      <c r="AC319">
        <v>2</v>
      </c>
      <c r="AD319">
        <v>2</v>
      </c>
      <c r="AE319">
        <v>2</v>
      </c>
      <c r="AF319">
        <v>2</v>
      </c>
      <c r="AG319">
        <v>2</v>
      </c>
      <c r="AH319">
        <v>2</v>
      </c>
      <c r="AI319">
        <v>2</v>
      </c>
      <c r="AJ319">
        <v>2</v>
      </c>
      <c r="AK319">
        <v>2</v>
      </c>
      <c r="AL319">
        <v>2</v>
      </c>
      <c r="AM319">
        <v>2</v>
      </c>
      <c r="AN319">
        <v>2</v>
      </c>
      <c r="AO319">
        <v>2</v>
      </c>
      <c r="AP319">
        <v>2</v>
      </c>
      <c r="AQ319">
        <v>3</v>
      </c>
      <c r="AR319">
        <v>3</v>
      </c>
      <c r="AS319">
        <v>9</v>
      </c>
      <c r="AT319">
        <v>11</v>
      </c>
      <c r="AU319">
        <v>11</v>
      </c>
      <c r="AV319">
        <v>20</v>
      </c>
      <c r="AW319">
        <v>20</v>
      </c>
      <c r="AX319">
        <v>32</v>
      </c>
      <c r="AY319">
        <v>38</v>
      </c>
      <c r="AZ319">
        <v>38</v>
      </c>
      <c r="BA319">
        <v>43</v>
      </c>
      <c r="BB319">
        <v>48</v>
      </c>
    </row>
    <row r="320" spans="1:54" hidden="1" x14ac:dyDescent="0.3">
      <c r="A320" t="s">
        <v>326</v>
      </c>
      <c r="B320" t="s">
        <v>107</v>
      </c>
      <c r="C320">
        <v>36.079599999999999</v>
      </c>
      <c r="D320">
        <v>-115.09399999999999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2</v>
      </c>
      <c r="AZ320">
        <v>2</v>
      </c>
      <c r="BA320">
        <v>2</v>
      </c>
      <c r="BB320">
        <v>5</v>
      </c>
    </row>
    <row r="321" spans="1:54" hidden="1" x14ac:dyDescent="0.3">
      <c r="A321" t="s">
        <v>327</v>
      </c>
      <c r="B321" t="s">
        <v>107</v>
      </c>
      <c r="C321">
        <v>29.569299999999998</v>
      </c>
      <c r="D321">
        <v>-95.814300000000003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3</v>
      </c>
      <c r="AY321">
        <v>6</v>
      </c>
      <c r="AZ321">
        <v>6</v>
      </c>
      <c r="BA321">
        <v>6</v>
      </c>
      <c r="BB321">
        <v>6</v>
      </c>
    </row>
    <row r="322" spans="1:54" hidden="1" x14ac:dyDescent="0.3">
      <c r="A322" t="s">
        <v>328</v>
      </c>
      <c r="B322" t="s">
        <v>107</v>
      </c>
      <c r="C322">
        <v>47.198099999999997</v>
      </c>
      <c r="D322">
        <v>-119.3732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</row>
    <row r="323" spans="1:54" hidden="1" x14ac:dyDescent="0.3">
      <c r="A323" t="s">
        <v>329</v>
      </c>
      <c r="B323" t="s">
        <v>107</v>
      </c>
      <c r="C323">
        <v>30.768999999999998</v>
      </c>
      <c r="D323">
        <v>-86.982399999999998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</row>
    <row r="324" spans="1:54" hidden="1" x14ac:dyDescent="0.3">
      <c r="A324" t="s">
        <v>330</v>
      </c>
      <c r="B324" t="s">
        <v>107</v>
      </c>
      <c r="C324">
        <v>35.917900000000003</v>
      </c>
      <c r="D324">
        <v>-86.862200000000001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5</v>
      </c>
    </row>
    <row r="325" spans="1:54" hidden="1" x14ac:dyDescent="0.3">
      <c r="A325" t="s">
        <v>331</v>
      </c>
      <c r="B325" t="s">
        <v>107</v>
      </c>
      <c r="C325">
        <v>40.712800000000001</v>
      </c>
      <c r="D325">
        <v>-74.006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1</v>
      </c>
      <c r="AU325">
        <v>1</v>
      </c>
      <c r="AV325">
        <v>4</v>
      </c>
      <c r="AW325">
        <v>11</v>
      </c>
      <c r="AX325">
        <v>11</v>
      </c>
      <c r="AY325">
        <v>12</v>
      </c>
      <c r="AZ325">
        <v>19</v>
      </c>
      <c r="BA325">
        <v>25</v>
      </c>
      <c r="BB325">
        <v>55</v>
      </c>
    </row>
    <row r="326" spans="1:54" hidden="1" x14ac:dyDescent="0.3">
      <c r="A326" t="s">
        <v>332</v>
      </c>
      <c r="B326" t="s">
        <v>107</v>
      </c>
      <c r="C326">
        <v>39.154699999999998</v>
      </c>
      <c r="D326">
        <v>-77.240499999999997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3</v>
      </c>
      <c r="AX326">
        <v>3</v>
      </c>
      <c r="AY326">
        <v>4</v>
      </c>
      <c r="AZ326">
        <v>4</v>
      </c>
      <c r="BA326">
        <v>4</v>
      </c>
      <c r="BB326">
        <v>5</v>
      </c>
    </row>
    <row r="327" spans="1:54" hidden="1" x14ac:dyDescent="0.3">
      <c r="A327" t="s">
        <v>333</v>
      </c>
      <c r="B327" t="s">
        <v>107</v>
      </c>
      <c r="C327">
        <v>42.360100000000003</v>
      </c>
      <c r="D327">
        <v>-71.058899999999994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3</v>
      </c>
      <c r="AX327">
        <v>3</v>
      </c>
      <c r="AY327">
        <v>8</v>
      </c>
      <c r="AZ327">
        <v>8</v>
      </c>
      <c r="BA327">
        <v>10</v>
      </c>
      <c r="BB327">
        <v>20</v>
      </c>
    </row>
    <row r="328" spans="1:54" hidden="1" x14ac:dyDescent="0.3">
      <c r="A328" t="s">
        <v>334</v>
      </c>
      <c r="B328" t="s">
        <v>107</v>
      </c>
      <c r="C328">
        <v>39.739199999999997</v>
      </c>
      <c r="D328">
        <v>-104.9903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v>2</v>
      </c>
      <c r="AY328">
        <v>2</v>
      </c>
      <c r="AZ328">
        <v>2</v>
      </c>
      <c r="BA328">
        <v>3</v>
      </c>
      <c r="BB328">
        <v>6</v>
      </c>
    </row>
    <row r="329" spans="1:54" hidden="1" x14ac:dyDescent="0.3">
      <c r="A329" t="s">
        <v>335</v>
      </c>
      <c r="B329" t="s">
        <v>107</v>
      </c>
      <c r="C329">
        <v>39.591200000000001</v>
      </c>
      <c r="D329">
        <v>-106.06399999999999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</row>
    <row r="330" spans="1:54" hidden="1" x14ac:dyDescent="0.3">
      <c r="A330" t="s">
        <v>336</v>
      </c>
      <c r="B330" t="s">
        <v>107</v>
      </c>
      <c r="C330">
        <v>40.926299999999998</v>
      </c>
      <c r="D330">
        <v>-74.076999999999998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>
        <v>2</v>
      </c>
      <c r="AX330">
        <v>4</v>
      </c>
      <c r="AY330">
        <v>4</v>
      </c>
      <c r="AZ330">
        <v>4</v>
      </c>
      <c r="BA330">
        <v>7</v>
      </c>
      <c r="BB330">
        <v>11</v>
      </c>
    </row>
    <row r="331" spans="1:54" hidden="1" x14ac:dyDescent="0.3">
      <c r="A331" t="s">
        <v>337</v>
      </c>
      <c r="B331" t="s">
        <v>107</v>
      </c>
      <c r="C331">
        <v>29.775200000000002</v>
      </c>
      <c r="D331">
        <v>-95.310299999999998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>
        <v>3</v>
      </c>
      <c r="AX331">
        <v>5</v>
      </c>
      <c r="AY331">
        <v>5</v>
      </c>
      <c r="AZ331">
        <v>6</v>
      </c>
      <c r="BA331">
        <v>6</v>
      </c>
      <c r="BB331">
        <v>7</v>
      </c>
    </row>
    <row r="332" spans="1:54" hidden="1" x14ac:dyDescent="0.3">
      <c r="A332" t="s">
        <v>338</v>
      </c>
      <c r="B332" t="s">
        <v>107</v>
      </c>
      <c r="C332">
        <v>37.774900000000002</v>
      </c>
      <c r="D332">
        <v>-122.4194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>
        <v>2</v>
      </c>
      <c r="AX332">
        <v>9</v>
      </c>
      <c r="AY332">
        <v>9</v>
      </c>
      <c r="AZ332">
        <v>9</v>
      </c>
      <c r="BA332">
        <v>14</v>
      </c>
      <c r="BB332">
        <v>14</v>
      </c>
    </row>
    <row r="333" spans="1:54" hidden="1" x14ac:dyDescent="0.3">
      <c r="A333" t="s">
        <v>339</v>
      </c>
      <c r="B333" t="s">
        <v>107</v>
      </c>
      <c r="C333">
        <v>37.853400000000001</v>
      </c>
      <c r="D333">
        <v>-121.90179999999999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1</v>
      </c>
      <c r="AW333">
        <v>3</v>
      </c>
      <c r="AX333">
        <v>3</v>
      </c>
      <c r="AY333">
        <v>9</v>
      </c>
      <c r="AZ333">
        <v>9</v>
      </c>
      <c r="BA333">
        <v>9</v>
      </c>
      <c r="BB333">
        <v>10</v>
      </c>
    </row>
    <row r="334" spans="1:54" hidden="1" x14ac:dyDescent="0.3">
      <c r="A334" t="s">
        <v>340</v>
      </c>
      <c r="B334" t="s">
        <v>107</v>
      </c>
      <c r="C334">
        <v>33.7879</v>
      </c>
      <c r="D334">
        <v>-117.8531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3</v>
      </c>
      <c r="AV334">
        <v>3</v>
      </c>
      <c r="AW334">
        <v>3</v>
      </c>
      <c r="AX334">
        <v>3</v>
      </c>
      <c r="AY334">
        <v>3</v>
      </c>
      <c r="AZ334">
        <v>4</v>
      </c>
      <c r="BA334">
        <v>5</v>
      </c>
      <c r="BB334">
        <v>5</v>
      </c>
    </row>
    <row r="335" spans="1:54" hidden="1" x14ac:dyDescent="0.3">
      <c r="A335" t="s">
        <v>341</v>
      </c>
      <c r="B335" t="s">
        <v>107</v>
      </c>
      <c r="C335">
        <v>42.176699999999997</v>
      </c>
      <c r="D335">
        <v>-71.144900000000007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1</v>
      </c>
      <c r="AV335">
        <v>1</v>
      </c>
      <c r="AW335">
        <v>2</v>
      </c>
      <c r="AX335">
        <v>2</v>
      </c>
      <c r="AY335">
        <v>6</v>
      </c>
      <c r="AZ335">
        <v>6</v>
      </c>
      <c r="BA335">
        <v>10</v>
      </c>
      <c r="BB335">
        <v>22</v>
      </c>
    </row>
    <row r="336" spans="1:54" hidden="1" x14ac:dyDescent="0.3">
      <c r="A336" t="s">
        <v>342</v>
      </c>
      <c r="B336" t="s">
        <v>107</v>
      </c>
      <c r="C336">
        <v>33.291800000000002</v>
      </c>
      <c r="D336">
        <v>-112.42910000000001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2</v>
      </c>
      <c r="AX336">
        <v>2</v>
      </c>
      <c r="AY336">
        <v>2</v>
      </c>
      <c r="AZ336">
        <v>2</v>
      </c>
      <c r="BA336">
        <v>2</v>
      </c>
      <c r="BB336">
        <v>3</v>
      </c>
    </row>
    <row r="337" spans="1:54" hidden="1" x14ac:dyDescent="0.3">
      <c r="A337" t="s">
        <v>343</v>
      </c>
      <c r="B337" t="s">
        <v>107</v>
      </c>
      <c r="C337">
        <v>35.803199999999997</v>
      </c>
      <c r="D337">
        <v>-78.566100000000006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6</v>
      </c>
      <c r="BB337">
        <v>6</v>
      </c>
    </row>
    <row r="338" spans="1:54" hidden="1" x14ac:dyDescent="0.3">
      <c r="A338" t="s">
        <v>344</v>
      </c>
      <c r="B338" t="s">
        <v>107</v>
      </c>
      <c r="C338">
        <v>41.122</v>
      </c>
      <c r="D338">
        <v>-73.794899999999998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10</v>
      </c>
      <c r="AV338">
        <v>18</v>
      </c>
      <c r="AW338">
        <v>19</v>
      </c>
      <c r="AX338">
        <v>57</v>
      </c>
      <c r="AY338">
        <v>83</v>
      </c>
      <c r="AZ338">
        <v>98</v>
      </c>
      <c r="BA338">
        <v>98</v>
      </c>
      <c r="BB338">
        <v>121</v>
      </c>
    </row>
    <row r="339" spans="1:54" hidden="1" x14ac:dyDescent="0.3">
      <c r="A339" t="s">
        <v>345</v>
      </c>
      <c r="B339" t="s">
        <v>107</v>
      </c>
      <c r="C339">
        <v>43.908799999999999</v>
      </c>
      <c r="D339">
        <v>-71.825999999999993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2</v>
      </c>
      <c r="AU339">
        <v>2</v>
      </c>
      <c r="AV339">
        <v>2</v>
      </c>
      <c r="AW339">
        <v>2</v>
      </c>
      <c r="AX339">
        <v>2</v>
      </c>
      <c r="AY339">
        <v>3</v>
      </c>
      <c r="AZ339">
        <v>3</v>
      </c>
      <c r="BA339">
        <v>3</v>
      </c>
      <c r="BB339">
        <v>3</v>
      </c>
    </row>
    <row r="340" spans="1:54" hidden="1" x14ac:dyDescent="0.3">
      <c r="A340" t="s">
        <v>346</v>
      </c>
      <c r="B340" t="s">
        <v>107</v>
      </c>
      <c r="C340">
        <v>27.990400000000001</v>
      </c>
      <c r="D340">
        <v>-82.3018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2</v>
      </c>
      <c r="AU340">
        <v>2</v>
      </c>
      <c r="AV340">
        <v>2</v>
      </c>
      <c r="AW340">
        <v>2</v>
      </c>
      <c r="AX340">
        <v>2</v>
      </c>
      <c r="AY340">
        <v>2</v>
      </c>
      <c r="AZ340">
        <v>2</v>
      </c>
      <c r="BA340">
        <v>2</v>
      </c>
      <c r="BB340">
        <v>3</v>
      </c>
    </row>
    <row r="341" spans="1:54" hidden="1" x14ac:dyDescent="0.3">
      <c r="A341" t="s">
        <v>347</v>
      </c>
      <c r="B341" t="s">
        <v>107</v>
      </c>
      <c r="C341">
        <v>39.0916</v>
      </c>
      <c r="D341">
        <v>-120.8039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1</v>
      </c>
      <c r="AU341">
        <v>2</v>
      </c>
      <c r="AV341">
        <v>2</v>
      </c>
      <c r="AW341">
        <v>5</v>
      </c>
      <c r="AX341">
        <v>5</v>
      </c>
      <c r="AY341">
        <v>5</v>
      </c>
      <c r="AZ341">
        <v>7</v>
      </c>
      <c r="BA341">
        <v>7</v>
      </c>
      <c r="BB341">
        <v>7</v>
      </c>
    </row>
    <row r="342" spans="1:54" hidden="1" x14ac:dyDescent="0.3">
      <c r="A342" t="s">
        <v>348</v>
      </c>
      <c r="B342" t="s">
        <v>107</v>
      </c>
      <c r="C342">
        <v>37.563000000000002</v>
      </c>
      <c r="D342">
        <v>-122.32550000000001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2</v>
      </c>
      <c r="AU342">
        <v>2</v>
      </c>
      <c r="AV342">
        <v>2</v>
      </c>
      <c r="AW342">
        <v>2</v>
      </c>
      <c r="AX342">
        <v>2</v>
      </c>
      <c r="AY342">
        <v>2</v>
      </c>
      <c r="AZ342">
        <v>2</v>
      </c>
      <c r="BA342">
        <v>8</v>
      </c>
      <c r="BB342">
        <v>15</v>
      </c>
    </row>
    <row r="343" spans="1:54" hidden="1" x14ac:dyDescent="0.3">
      <c r="A343" t="s">
        <v>349</v>
      </c>
      <c r="B343" t="s">
        <v>107</v>
      </c>
      <c r="C343">
        <v>38.578000000000003</v>
      </c>
      <c r="D343">
        <v>-122.9888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3</v>
      </c>
      <c r="BA343">
        <v>3</v>
      </c>
      <c r="BB343">
        <v>3</v>
      </c>
    </row>
    <row r="344" spans="1:54" hidden="1" x14ac:dyDescent="0.3">
      <c r="A344" t="s">
        <v>350</v>
      </c>
      <c r="B344" t="s">
        <v>107</v>
      </c>
      <c r="C344">
        <v>45.774999999999999</v>
      </c>
      <c r="D344">
        <v>-118.7606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2</v>
      </c>
    </row>
    <row r="345" spans="1:54" hidden="1" x14ac:dyDescent="0.3">
      <c r="A345" t="s">
        <v>351</v>
      </c>
      <c r="B345" t="s">
        <v>107</v>
      </c>
      <c r="C345">
        <v>33.803400000000003</v>
      </c>
      <c r="D345">
        <v>-84.396299999999997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2</v>
      </c>
      <c r="AU345">
        <v>2</v>
      </c>
      <c r="AV345">
        <v>2</v>
      </c>
      <c r="AW345">
        <v>2</v>
      </c>
      <c r="AX345">
        <v>3</v>
      </c>
      <c r="AY345">
        <v>3</v>
      </c>
      <c r="AZ345">
        <v>5</v>
      </c>
      <c r="BA345">
        <v>5</v>
      </c>
      <c r="BB345">
        <v>7</v>
      </c>
    </row>
    <row r="346" spans="1:54" hidden="1" x14ac:dyDescent="0.3">
      <c r="A346" t="s">
        <v>352</v>
      </c>
      <c r="B346" t="s">
        <v>107</v>
      </c>
      <c r="C346">
        <v>45.546999999999997</v>
      </c>
      <c r="D346">
        <v>-123.1386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1</v>
      </c>
      <c r="AS346">
        <v>2</v>
      </c>
      <c r="AT346">
        <v>2</v>
      </c>
      <c r="AU346">
        <v>2</v>
      </c>
      <c r="AV346">
        <v>2</v>
      </c>
      <c r="AW346">
        <v>2</v>
      </c>
      <c r="AX346">
        <v>3</v>
      </c>
      <c r="AY346">
        <v>8</v>
      </c>
      <c r="AZ346">
        <v>8</v>
      </c>
      <c r="BA346">
        <v>8</v>
      </c>
      <c r="BB346">
        <v>8</v>
      </c>
    </row>
    <row r="347" spans="1:54" hidden="1" x14ac:dyDescent="0.3">
      <c r="A347" t="s">
        <v>353</v>
      </c>
      <c r="B347" t="s">
        <v>107</v>
      </c>
      <c r="C347">
        <v>48.033000000000001</v>
      </c>
      <c r="D347">
        <v>-121.8339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2</v>
      </c>
      <c r="AS347">
        <v>4</v>
      </c>
      <c r="AT347">
        <v>6</v>
      </c>
      <c r="AU347">
        <v>8</v>
      </c>
      <c r="AV347">
        <v>18</v>
      </c>
      <c r="AW347">
        <v>19</v>
      </c>
      <c r="AX347">
        <v>27</v>
      </c>
      <c r="AY347">
        <v>31</v>
      </c>
      <c r="AZ347">
        <v>31</v>
      </c>
      <c r="BA347">
        <v>37</v>
      </c>
      <c r="BB347">
        <v>68</v>
      </c>
    </row>
    <row r="348" spans="1:54" hidden="1" x14ac:dyDescent="0.3">
      <c r="A348" t="s">
        <v>354</v>
      </c>
      <c r="B348" t="s">
        <v>107</v>
      </c>
      <c r="C348">
        <v>40.744999999999997</v>
      </c>
      <c r="D348">
        <v>-123.8695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</row>
    <row r="349" spans="1:54" hidden="1" x14ac:dyDescent="0.3">
      <c r="A349" t="s">
        <v>355</v>
      </c>
      <c r="B349" t="s">
        <v>107</v>
      </c>
      <c r="C349">
        <v>38.474699999999999</v>
      </c>
      <c r="D349">
        <v>-121.35420000000001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2</v>
      </c>
      <c r="AP349">
        <v>2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2</v>
      </c>
      <c r="AW349">
        <v>2</v>
      </c>
      <c r="AX349">
        <v>2</v>
      </c>
      <c r="AY349">
        <v>2</v>
      </c>
      <c r="AZ349">
        <v>2</v>
      </c>
      <c r="BA349">
        <v>10</v>
      </c>
      <c r="BB349">
        <v>11</v>
      </c>
    </row>
    <row r="350" spans="1:54" hidden="1" x14ac:dyDescent="0.3">
      <c r="A350" t="s">
        <v>356</v>
      </c>
      <c r="B350" t="s">
        <v>107</v>
      </c>
      <c r="C350">
        <v>32.715699999999998</v>
      </c>
      <c r="D350">
        <v>-117.1611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3</v>
      </c>
      <c r="AW350">
        <v>3</v>
      </c>
      <c r="AX350">
        <v>3</v>
      </c>
      <c r="AY350">
        <v>3</v>
      </c>
      <c r="AZ350">
        <v>3</v>
      </c>
      <c r="BA350">
        <v>3</v>
      </c>
      <c r="BB350">
        <v>3</v>
      </c>
    </row>
    <row r="351" spans="1:54" hidden="1" x14ac:dyDescent="0.3">
      <c r="A351" t="s">
        <v>357</v>
      </c>
      <c r="B351" t="s">
        <v>107</v>
      </c>
      <c r="C351">
        <v>36.576099999999997</v>
      </c>
      <c r="D351">
        <v>-120.9876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</v>
      </c>
      <c r="R351">
        <v>2</v>
      </c>
      <c r="S351">
        <v>2</v>
      </c>
      <c r="T351">
        <v>2</v>
      </c>
      <c r="U351">
        <v>2</v>
      </c>
      <c r="V351">
        <v>2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2</v>
      </c>
      <c r="AS351">
        <v>2</v>
      </c>
      <c r="AT351">
        <v>2</v>
      </c>
      <c r="AU351">
        <v>2</v>
      </c>
      <c r="AV351">
        <v>2</v>
      </c>
      <c r="AW351">
        <v>2</v>
      </c>
      <c r="AX351">
        <v>2</v>
      </c>
      <c r="AY351">
        <v>2</v>
      </c>
      <c r="AZ351">
        <v>2</v>
      </c>
      <c r="BA351">
        <v>2</v>
      </c>
      <c r="BB351">
        <v>2</v>
      </c>
    </row>
    <row r="352" spans="1:54" hidden="1" x14ac:dyDescent="0.3">
      <c r="A352" t="s">
        <v>358</v>
      </c>
      <c r="B352" t="s">
        <v>107</v>
      </c>
      <c r="C352">
        <v>34.052199999999999</v>
      </c>
      <c r="D352">
        <v>-118.2437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7</v>
      </c>
      <c r="AV352">
        <v>11</v>
      </c>
      <c r="AW352">
        <v>13</v>
      </c>
      <c r="AX352">
        <v>14</v>
      </c>
      <c r="AY352">
        <v>14</v>
      </c>
      <c r="AZ352">
        <v>14</v>
      </c>
      <c r="BA352">
        <v>20</v>
      </c>
      <c r="BB352">
        <v>27</v>
      </c>
    </row>
    <row r="353" spans="1:54" hidden="1" x14ac:dyDescent="0.3">
      <c r="A353" t="s">
        <v>359</v>
      </c>
      <c r="B353" t="s">
        <v>107</v>
      </c>
      <c r="C353">
        <v>47.606200000000001</v>
      </c>
      <c r="D353">
        <v>-122.3321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6</v>
      </c>
      <c r="AR353">
        <v>9</v>
      </c>
      <c r="AS353">
        <v>14</v>
      </c>
      <c r="AT353">
        <v>21</v>
      </c>
      <c r="AU353">
        <v>31</v>
      </c>
      <c r="AV353">
        <v>51</v>
      </c>
      <c r="AW353">
        <v>58</v>
      </c>
      <c r="AX353">
        <v>71</v>
      </c>
      <c r="AY353">
        <v>83</v>
      </c>
      <c r="AZ353">
        <v>83</v>
      </c>
      <c r="BA353">
        <v>116</v>
      </c>
      <c r="BB353">
        <v>190</v>
      </c>
    </row>
    <row r="354" spans="1:54" hidden="1" x14ac:dyDescent="0.3">
      <c r="A354" t="s">
        <v>360</v>
      </c>
      <c r="B354" t="s">
        <v>107</v>
      </c>
      <c r="C354">
        <v>41.737699999999997</v>
      </c>
      <c r="D354">
        <v>-87.697599999999994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2</v>
      </c>
      <c r="O354">
        <v>2</v>
      </c>
      <c r="P354">
        <v>2</v>
      </c>
      <c r="Q354">
        <v>2</v>
      </c>
      <c r="R354">
        <v>2</v>
      </c>
      <c r="S354">
        <v>2</v>
      </c>
      <c r="T354">
        <v>2</v>
      </c>
      <c r="U354">
        <v>2</v>
      </c>
      <c r="V354">
        <v>2</v>
      </c>
      <c r="W354">
        <v>2</v>
      </c>
      <c r="X354">
        <v>2</v>
      </c>
      <c r="Y354">
        <v>2</v>
      </c>
      <c r="Z354">
        <v>2</v>
      </c>
      <c r="AA354">
        <v>2</v>
      </c>
      <c r="AB354">
        <v>2</v>
      </c>
      <c r="AC354">
        <v>2</v>
      </c>
      <c r="AD354">
        <v>2</v>
      </c>
      <c r="AE354">
        <v>2</v>
      </c>
      <c r="AF354">
        <v>2</v>
      </c>
      <c r="AG354">
        <v>2</v>
      </c>
      <c r="AH354">
        <v>2</v>
      </c>
      <c r="AI354">
        <v>2</v>
      </c>
      <c r="AJ354">
        <v>2</v>
      </c>
      <c r="AK354">
        <v>2</v>
      </c>
      <c r="AL354">
        <v>2</v>
      </c>
      <c r="AM354">
        <v>2</v>
      </c>
      <c r="AN354">
        <v>2</v>
      </c>
      <c r="AO354">
        <v>2</v>
      </c>
      <c r="AP354">
        <v>2</v>
      </c>
      <c r="AQ354">
        <v>2</v>
      </c>
      <c r="AR354">
        <v>3</v>
      </c>
      <c r="AS354">
        <v>4</v>
      </c>
      <c r="AT354">
        <v>4</v>
      </c>
      <c r="AU354">
        <v>4</v>
      </c>
      <c r="AV354">
        <v>5</v>
      </c>
      <c r="AW354">
        <v>5</v>
      </c>
      <c r="AX354">
        <v>6</v>
      </c>
      <c r="AY354">
        <v>7</v>
      </c>
      <c r="AZ354">
        <v>7</v>
      </c>
      <c r="BA354">
        <v>11</v>
      </c>
      <c r="BB354">
        <v>22</v>
      </c>
    </row>
    <row r="355" spans="1:54" hidden="1" x14ac:dyDescent="0.3">
      <c r="A355" t="s">
        <v>361</v>
      </c>
      <c r="B355" t="s">
        <v>107</v>
      </c>
      <c r="C355">
        <v>48.424199999999999</v>
      </c>
      <c r="D355">
        <v>-121.7114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1</v>
      </c>
    </row>
    <row r="356" spans="1:54" hidden="1" x14ac:dyDescent="0.3">
      <c r="A356" t="s">
        <v>362</v>
      </c>
      <c r="B356" t="s">
        <v>107</v>
      </c>
      <c r="C356">
        <v>46.864600000000003</v>
      </c>
      <c r="D356">
        <v>-122.7696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1</v>
      </c>
    </row>
    <row r="357" spans="1:54" hidden="1" x14ac:dyDescent="0.3">
      <c r="A357" t="s">
        <v>363</v>
      </c>
      <c r="B357" t="s">
        <v>107</v>
      </c>
      <c r="C357">
        <v>48.197600000000001</v>
      </c>
      <c r="D357">
        <v>-122.5795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1</v>
      </c>
    </row>
    <row r="358" spans="1:54" hidden="1" x14ac:dyDescent="0.3">
      <c r="A358" t="s">
        <v>364</v>
      </c>
      <c r="B358" t="s">
        <v>107</v>
      </c>
      <c r="C358">
        <v>48.878700000000002</v>
      </c>
      <c r="D358">
        <v>-121.97190000000001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1</v>
      </c>
    </row>
    <row r="359" spans="1:54" hidden="1" x14ac:dyDescent="0.3">
      <c r="A359" t="s">
        <v>365</v>
      </c>
      <c r="B359" t="s">
        <v>107</v>
      </c>
      <c r="C359">
        <v>38.083399999999997</v>
      </c>
      <c r="D359">
        <v>-122.7633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</v>
      </c>
      <c r="BB359">
        <v>1</v>
      </c>
    </row>
    <row r="360" spans="1:54" hidden="1" x14ac:dyDescent="0.3">
      <c r="A360" t="s">
        <v>366</v>
      </c>
      <c r="B360" t="s">
        <v>107</v>
      </c>
      <c r="C360">
        <v>38.195999999999998</v>
      </c>
      <c r="D360">
        <v>-120.68049999999999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2</v>
      </c>
    </row>
    <row r="361" spans="1:54" hidden="1" x14ac:dyDescent="0.3">
      <c r="A361" t="s">
        <v>367</v>
      </c>
      <c r="B361" t="s">
        <v>107</v>
      </c>
      <c r="C361">
        <v>37.509099999999997</v>
      </c>
      <c r="D361">
        <v>-120.9876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2</v>
      </c>
    </row>
    <row r="362" spans="1:54" hidden="1" x14ac:dyDescent="0.3">
      <c r="A362" t="s">
        <v>368</v>
      </c>
      <c r="B362" t="s">
        <v>107</v>
      </c>
      <c r="C362">
        <v>36.6066</v>
      </c>
      <c r="D362">
        <v>-120.18899999999999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1</v>
      </c>
    </row>
    <row r="363" spans="1:54" hidden="1" x14ac:dyDescent="0.3">
      <c r="A363" t="s">
        <v>369</v>
      </c>
      <c r="B363" t="s">
        <v>107</v>
      </c>
      <c r="C363">
        <v>42.631999999999998</v>
      </c>
      <c r="D363">
        <v>-70.782899999999998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</v>
      </c>
    </row>
    <row r="364" spans="1:54" hidden="1" x14ac:dyDescent="0.3">
      <c r="A364" t="s">
        <v>370</v>
      </c>
      <c r="B364" t="s">
        <v>107</v>
      </c>
      <c r="C364">
        <v>30.791699999999999</v>
      </c>
      <c r="D364">
        <v>-82.084299999999999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1</v>
      </c>
    </row>
    <row r="365" spans="1:54" hidden="1" x14ac:dyDescent="0.3">
      <c r="A365" t="s">
        <v>371</v>
      </c>
      <c r="B365" t="s">
        <v>107</v>
      </c>
      <c r="C365">
        <v>26.07</v>
      </c>
      <c r="D365">
        <v>-81.427899999999994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3</v>
      </c>
    </row>
    <row r="366" spans="1:54" hidden="1" x14ac:dyDescent="0.3">
      <c r="A366" t="s">
        <v>372</v>
      </c>
      <c r="B366" t="s">
        <v>107</v>
      </c>
      <c r="C366">
        <v>27.8764</v>
      </c>
      <c r="D366">
        <v>-82.777900000000002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2</v>
      </c>
    </row>
    <row r="367" spans="1:54" hidden="1" x14ac:dyDescent="0.3">
      <c r="A367" t="s">
        <v>373</v>
      </c>
      <c r="B367" t="s">
        <v>107</v>
      </c>
      <c r="C367">
        <v>29.793800000000001</v>
      </c>
      <c r="D367">
        <v>-82.494399999999999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1</v>
      </c>
    </row>
    <row r="368" spans="1:54" hidden="1" x14ac:dyDescent="0.3">
      <c r="A368" t="s">
        <v>374</v>
      </c>
      <c r="B368" t="s">
        <v>107</v>
      </c>
      <c r="C368">
        <v>30.592700000000001</v>
      </c>
      <c r="D368">
        <v>-81.822400000000002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</v>
      </c>
    </row>
    <row r="369" spans="1:54" hidden="1" x14ac:dyDescent="0.3">
      <c r="A369" t="s">
        <v>375</v>
      </c>
      <c r="B369" t="s">
        <v>107</v>
      </c>
      <c r="C369">
        <v>28.3232</v>
      </c>
      <c r="D369">
        <v>-82.431899999999999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</v>
      </c>
    </row>
    <row r="370" spans="1:54" hidden="1" x14ac:dyDescent="0.3">
      <c r="A370" t="s">
        <v>376</v>
      </c>
      <c r="B370" t="s">
        <v>107</v>
      </c>
      <c r="C370">
        <v>32.776699999999998</v>
      </c>
      <c r="D370">
        <v>-96.796999999999997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2</v>
      </c>
    </row>
    <row r="371" spans="1:54" hidden="1" x14ac:dyDescent="0.3">
      <c r="A371" t="s">
        <v>377</v>
      </c>
      <c r="B371" t="s">
        <v>107</v>
      </c>
      <c r="C371">
        <v>32.773200000000003</v>
      </c>
      <c r="D371">
        <v>-97.351699999999994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1</v>
      </c>
    </row>
    <row r="372" spans="1:54" hidden="1" x14ac:dyDescent="0.3">
      <c r="A372" t="s">
        <v>378</v>
      </c>
      <c r="B372" t="s">
        <v>107</v>
      </c>
      <c r="C372">
        <v>30.388300000000001</v>
      </c>
      <c r="D372">
        <v>-95.696299999999994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1</v>
      </c>
    </row>
    <row r="373" spans="1:54" hidden="1" x14ac:dyDescent="0.3">
      <c r="A373" t="s">
        <v>379</v>
      </c>
      <c r="B373" t="s">
        <v>107</v>
      </c>
      <c r="C373">
        <v>40.572600000000001</v>
      </c>
      <c r="D373">
        <v>-74.492699999999999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2</v>
      </c>
    </row>
    <row r="374" spans="1:54" hidden="1" x14ac:dyDescent="0.3">
      <c r="A374" t="s">
        <v>380</v>
      </c>
      <c r="B374" t="s">
        <v>107</v>
      </c>
      <c r="C374">
        <v>39.58</v>
      </c>
      <c r="D374">
        <v>-105.2663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3</v>
      </c>
    </row>
    <row r="375" spans="1:54" hidden="1" x14ac:dyDescent="0.3">
      <c r="A375" t="s">
        <v>381</v>
      </c>
      <c r="B375" t="s">
        <v>107</v>
      </c>
      <c r="C375">
        <v>45.514600000000002</v>
      </c>
      <c r="D375">
        <v>-122.58629999999999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</v>
      </c>
    </row>
    <row r="376" spans="1:54" hidden="1" x14ac:dyDescent="0.3">
      <c r="A376" t="s">
        <v>382</v>
      </c>
      <c r="B376" t="s">
        <v>107</v>
      </c>
      <c r="C376">
        <v>44.926699999999997</v>
      </c>
      <c r="D376">
        <v>-123.4919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1</v>
      </c>
    </row>
    <row r="377" spans="1:54" hidden="1" x14ac:dyDescent="0.3">
      <c r="A377" t="s">
        <v>383</v>
      </c>
      <c r="B377" t="s">
        <v>107</v>
      </c>
      <c r="C377">
        <v>43.832500000000003</v>
      </c>
      <c r="D377">
        <v>-121.2617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</v>
      </c>
    </row>
    <row r="378" spans="1:54" hidden="1" x14ac:dyDescent="0.3">
      <c r="A378" t="s">
        <v>384</v>
      </c>
      <c r="B378" t="s">
        <v>107</v>
      </c>
      <c r="C378">
        <v>42.333399999999997</v>
      </c>
      <c r="D378">
        <v>-88.266800000000003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1</v>
      </c>
    </row>
    <row r="379" spans="1:54" hidden="1" x14ac:dyDescent="0.3">
      <c r="A379" t="s">
        <v>385</v>
      </c>
      <c r="B379" t="s">
        <v>107</v>
      </c>
      <c r="C379">
        <v>42.368899999999996</v>
      </c>
      <c r="D379">
        <v>-87.827200000000005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1</v>
      </c>
    </row>
    <row r="380" spans="1:54" hidden="1" x14ac:dyDescent="0.3">
      <c r="A380" t="s">
        <v>386</v>
      </c>
      <c r="B380" t="s">
        <v>107</v>
      </c>
      <c r="C380">
        <v>40.410800000000002</v>
      </c>
      <c r="D380">
        <v>-75.247900000000001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</v>
      </c>
    </row>
    <row r="381" spans="1:54" x14ac:dyDescent="0.3">
      <c r="A381" t="s">
        <v>387</v>
      </c>
      <c r="B381" t="s">
        <v>107</v>
      </c>
      <c r="C381">
        <v>37.777200000000001</v>
      </c>
      <c r="D381">
        <v>-77.516099999999994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</v>
      </c>
    </row>
    <row r="382" spans="1:54" hidden="1" x14ac:dyDescent="0.3">
      <c r="A382" t="s">
        <v>388</v>
      </c>
      <c r="B382" t="s">
        <v>107</v>
      </c>
      <c r="C382">
        <v>34.725299999999997</v>
      </c>
      <c r="D382">
        <v>-80.677099999999996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1</v>
      </c>
    </row>
    <row r="383" spans="1:54" hidden="1" x14ac:dyDescent="0.3">
      <c r="A383" t="s">
        <v>389</v>
      </c>
      <c r="B383" t="s">
        <v>107</v>
      </c>
      <c r="C383">
        <v>36.493299999999998</v>
      </c>
      <c r="D383">
        <v>-82.345200000000006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1</v>
      </c>
    </row>
    <row r="384" spans="1:54" hidden="1" x14ac:dyDescent="0.3">
      <c r="A384" t="s">
        <v>390</v>
      </c>
      <c r="B384" t="s">
        <v>107</v>
      </c>
      <c r="C384">
        <v>39.463799999999999</v>
      </c>
      <c r="D384">
        <v>-86.134500000000003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3</v>
      </c>
    </row>
    <row r="385" spans="1:54" hidden="1" x14ac:dyDescent="0.3">
      <c r="A385" t="s">
        <v>391</v>
      </c>
      <c r="B385" t="s">
        <v>107</v>
      </c>
      <c r="C385">
        <v>40.448300000000003</v>
      </c>
      <c r="D385">
        <v>-86.134500000000003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1</v>
      </c>
    </row>
    <row r="386" spans="1:54" hidden="1" x14ac:dyDescent="0.3">
      <c r="A386" t="s">
        <v>392</v>
      </c>
      <c r="B386" t="s">
        <v>107</v>
      </c>
      <c r="C386">
        <v>41.622799999999998</v>
      </c>
      <c r="D386">
        <v>-86.337699999999998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1</v>
      </c>
    </row>
    <row r="387" spans="1:54" hidden="1" x14ac:dyDescent="0.3">
      <c r="A387" t="s">
        <v>393</v>
      </c>
      <c r="B387" t="s">
        <v>107</v>
      </c>
      <c r="C387">
        <v>42.671199999999999</v>
      </c>
      <c r="D387">
        <v>-97.872200000000007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1</v>
      </c>
    </row>
    <row r="388" spans="1:54" hidden="1" x14ac:dyDescent="0.3">
      <c r="A388" t="s">
        <v>394</v>
      </c>
      <c r="B388" t="s">
        <v>107</v>
      </c>
      <c r="C388">
        <v>40.868499999999997</v>
      </c>
      <c r="D388">
        <v>-81.251900000000006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</v>
      </c>
    </row>
    <row r="389" spans="1:54" hidden="1" x14ac:dyDescent="0.3">
      <c r="A389" t="s">
        <v>395</v>
      </c>
      <c r="B389" t="s">
        <v>107</v>
      </c>
      <c r="C389">
        <v>45.329300000000003</v>
      </c>
      <c r="D389">
        <v>-93.219700000000003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1</v>
      </c>
    </row>
    <row r="390" spans="1:54" hidden="1" x14ac:dyDescent="0.3">
      <c r="A390" t="s">
        <v>396</v>
      </c>
      <c r="B390" t="s">
        <v>107</v>
      </c>
      <c r="C390">
        <v>43.995199999999997</v>
      </c>
      <c r="D390">
        <v>-92.381399999999999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1</v>
      </c>
    </row>
    <row r="391" spans="1:54" hidden="1" x14ac:dyDescent="0.3">
      <c r="A391" t="s">
        <v>397</v>
      </c>
      <c r="B391" t="s">
        <v>107</v>
      </c>
      <c r="C391">
        <v>40.829799999999999</v>
      </c>
      <c r="D391">
        <v>-110.9984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1</v>
      </c>
    </row>
    <row r="392" spans="1:54" hidden="1" x14ac:dyDescent="0.3">
      <c r="A392" t="s">
        <v>398</v>
      </c>
      <c r="B392" t="s">
        <v>107</v>
      </c>
      <c r="C392">
        <v>41.256</v>
      </c>
      <c r="D392">
        <v>-73.370900000000006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1</v>
      </c>
      <c r="BB392">
        <v>2</v>
      </c>
    </row>
    <row r="393" spans="1:54" hidden="1" x14ac:dyDescent="0.3">
      <c r="A393" t="s">
        <v>399</v>
      </c>
      <c r="B393" t="s">
        <v>107</v>
      </c>
      <c r="C393">
        <v>41.7866</v>
      </c>
      <c r="D393">
        <v>-73.276499999999999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1</v>
      </c>
    </row>
    <row r="394" spans="1:54" hidden="1" x14ac:dyDescent="0.3">
      <c r="A394" t="s">
        <v>400</v>
      </c>
      <c r="B394" t="s">
        <v>107</v>
      </c>
      <c r="C394">
        <v>29.9511</v>
      </c>
      <c r="D394">
        <v>-90.0715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5</v>
      </c>
    </row>
    <row r="395" spans="1:54" hidden="1" x14ac:dyDescent="0.3">
      <c r="A395" t="s">
        <v>401</v>
      </c>
      <c r="B395" t="s">
        <v>107</v>
      </c>
      <c r="C395">
        <v>43.890099999999997</v>
      </c>
      <c r="D395">
        <v>-102.2548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1</v>
      </c>
    </row>
    <row r="396" spans="1:54" hidden="1" x14ac:dyDescent="0.3">
      <c r="A396" t="s">
        <v>402</v>
      </c>
      <c r="B396" t="s">
        <v>107</v>
      </c>
      <c r="C396">
        <v>44.479700000000001</v>
      </c>
      <c r="D396">
        <v>-98.221299999999999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</v>
      </c>
    </row>
    <row r="397" spans="1:54" hidden="1" x14ac:dyDescent="0.3">
      <c r="A397" t="s">
        <v>403</v>
      </c>
      <c r="B397" t="s">
        <v>107</v>
      </c>
      <c r="C397">
        <v>43.098500000000001</v>
      </c>
      <c r="D397">
        <v>-98.396500000000003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1</v>
      </c>
    </row>
    <row r="398" spans="1:54" hidden="1" x14ac:dyDescent="0.3">
      <c r="A398" t="s">
        <v>404</v>
      </c>
      <c r="B398" t="s">
        <v>107</v>
      </c>
      <c r="C398">
        <v>43.724200000000003</v>
      </c>
      <c r="D398">
        <v>-98.221299999999999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1</v>
      </c>
    </row>
    <row r="399" spans="1:54" hidden="1" x14ac:dyDescent="0.3">
      <c r="A399" t="s">
        <v>405</v>
      </c>
      <c r="B399" t="s">
        <v>107</v>
      </c>
      <c r="C399">
        <v>43.663200000000003</v>
      </c>
      <c r="D399">
        <v>-96.835099999999997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3</v>
      </c>
    </row>
    <row r="400" spans="1:54" hidden="1" x14ac:dyDescent="0.3">
      <c r="A400" t="s">
        <v>406</v>
      </c>
      <c r="B400" t="s">
        <v>107</v>
      </c>
      <c r="C400">
        <v>42.981499999999997</v>
      </c>
      <c r="D400">
        <v>-97.872200000000007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1</v>
      </c>
    </row>
    <row r="401" spans="1:54" hidden="1" x14ac:dyDescent="0.3">
      <c r="A401" t="s">
        <v>407</v>
      </c>
      <c r="B401" t="s">
        <v>107</v>
      </c>
      <c r="C401">
        <v>33.883699999999997</v>
      </c>
      <c r="D401">
        <v>-106.7235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2</v>
      </c>
    </row>
    <row r="402" spans="1:54" hidden="1" x14ac:dyDescent="0.3">
      <c r="A402" t="s">
        <v>408</v>
      </c>
      <c r="B402" t="s">
        <v>107</v>
      </c>
      <c r="C402">
        <v>35.017800000000001</v>
      </c>
      <c r="D402">
        <v>-106.62909999999999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1</v>
      </c>
    </row>
    <row r="403" spans="1:54" hidden="1" x14ac:dyDescent="0.3">
      <c r="A403" t="s">
        <v>409</v>
      </c>
      <c r="B403" t="s">
        <v>107</v>
      </c>
      <c r="C403">
        <v>42.592199999999998</v>
      </c>
      <c r="D403">
        <v>-83.336200000000005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1</v>
      </c>
    </row>
    <row r="404" spans="1:54" hidden="1" x14ac:dyDescent="0.3">
      <c r="A404" t="s">
        <v>410</v>
      </c>
      <c r="B404" t="s">
        <v>107</v>
      </c>
      <c r="C404">
        <v>42.2791</v>
      </c>
      <c r="D404">
        <v>-83.336200000000005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</row>
    <row r="405" spans="1:54" hidden="1" x14ac:dyDescent="0.3">
      <c r="A405" t="s">
        <v>411</v>
      </c>
      <c r="B405" t="s">
        <v>107</v>
      </c>
      <c r="C405">
        <v>39.539299999999997</v>
      </c>
      <c r="D405">
        <v>-75.667400000000001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1</v>
      </c>
    </row>
    <row r="406" spans="1:54" x14ac:dyDescent="0.3">
      <c r="B406" t="s">
        <v>412</v>
      </c>
      <c r="E406">
        <f>SUMIF(Table1[[Country/Region]:[Country/Region]], "US", Table1[1/22/2020])</f>
        <v>1</v>
      </c>
      <c r="F406">
        <f>SUMIF(Table1[[Country/Region]:[Country/Region]], "US", Table1[1/23/2020])</f>
        <v>1</v>
      </c>
      <c r="G406">
        <f>SUMIF(Table1[[Country/Region]:[Country/Region]], "US", Table1[1/24/2020])</f>
        <v>2</v>
      </c>
      <c r="H406">
        <f>SUMIF(Table1[[Country/Region]:[Country/Region]], "US", Table1[1/25/2020])</f>
        <v>2</v>
      </c>
      <c r="I406">
        <f>SUMIF(Table1[[Country/Region]:[Country/Region]], "US", Table1[1/26/2020])</f>
        <v>5</v>
      </c>
      <c r="J406">
        <f>SUMIF(Table1[[Country/Region]:[Country/Region]], "US", Table1[1/27/2020])</f>
        <v>5</v>
      </c>
      <c r="K406">
        <f>SUMIF(Table1[[Country/Region]:[Country/Region]], "US", Table1[1/28/2020])</f>
        <v>5</v>
      </c>
      <c r="L406">
        <f>SUMIF(Table1[[Country/Region]:[Country/Region]], "US", Table1[1/29/2020])</f>
        <v>5</v>
      </c>
      <c r="M406">
        <f>SUMIF(Table1[[Country/Region]:[Country/Region]], "US", Table1[1/30/2020])</f>
        <v>5</v>
      </c>
      <c r="N406">
        <f>SUMIF(Table1[[Country/Region]:[Country/Region]], "US", Table1[1/31/2020])</f>
        <v>7</v>
      </c>
      <c r="O406">
        <f>SUMIF(Table1[[Country/Region]:[Country/Region]], "US", Table1[2/1/2020])</f>
        <v>8</v>
      </c>
      <c r="P406">
        <f>SUMIF(Table1[[Country/Region]:[Country/Region]], "US", Table1[2/2/2020])</f>
        <v>8</v>
      </c>
      <c r="Q406">
        <f>SUMIF(Table1[[Country/Region]:[Country/Region]], "US", Table1[2/3/2020])</f>
        <v>11</v>
      </c>
      <c r="R406">
        <f>SUMIF(Table1[[Country/Region]:[Country/Region]], "US", Table1[2/4/2020])</f>
        <v>11</v>
      </c>
      <c r="S406">
        <f>SUMIF(Table1[[Country/Region]:[Country/Region]], "US", Table1[2/5/2020])</f>
        <v>11</v>
      </c>
      <c r="T406">
        <f>SUMIF(Table1[[Country/Region]:[Country/Region]], "US", Table1[2/6/2020])</f>
        <v>11</v>
      </c>
      <c r="U406">
        <f>SUMIF(Table1[[Country/Region]:[Country/Region]], "US", Table1[2/7/2020])</f>
        <v>11</v>
      </c>
      <c r="V406">
        <f>SUMIF(Table1[[Country/Region]:[Country/Region]], "US", Table1[2/8/2020])</f>
        <v>11</v>
      </c>
      <c r="W406">
        <f>SUMIF(Table1[[Country/Region]:[Country/Region]], "US", Table1[2/9/2020])</f>
        <v>11</v>
      </c>
      <c r="X406">
        <f>SUMIF(Table1[[Country/Region]:[Country/Region]], "US", Table1[2/10/2020])</f>
        <v>11</v>
      </c>
      <c r="Y406">
        <f>SUMIF(Table1[[Country/Region]:[Country/Region]], "US", Table1[2/11/2020])</f>
        <v>12</v>
      </c>
      <c r="Z406">
        <f>SUMIF(Table1[[Country/Region]:[Country/Region]], "US", Table1[2/12/2020])</f>
        <v>12</v>
      </c>
      <c r="AA406">
        <f>SUMIF(Table1[[Country/Region]:[Country/Region]], "US", Table1[2/13/2020])</f>
        <v>13</v>
      </c>
      <c r="AB406">
        <f>SUMIF(Table1[[Country/Region]:[Country/Region]], "US", Table1[2/14/2020])</f>
        <v>13</v>
      </c>
      <c r="AC406">
        <f>SUMIF(Table1[[Country/Region]:[Country/Region]], "US", Table1[2/15/2020])</f>
        <v>13</v>
      </c>
      <c r="AD406">
        <f>SUMIF(Table1[[Country/Region]:[Country/Region]], "US", Table1[2/16/2020])</f>
        <v>13</v>
      </c>
      <c r="AE406">
        <f>SUMIF(Table1[[Country/Region]:[Country/Region]], "US", Table1[2/17/2020])</f>
        <v>13</v>
      </c>
      <c r="AF406">
        <f>SUMIF(Table1[[Country/Region]:[Country/Region]], "US", Table1[2/18/2020])</f>
        <v>13</v>
      </c>
      <c r="AG406">
        <f>SUMIF(Table1[[Country/Region]:[Country/Region]], "US", Table1[2/19/2020])</f>
        <v>13</v>
      </c>
      <c r="AH406">
        <f>SUMIF(Table1[[Country/Region]:[Country/Region]], "US", Table1[2/20/2020])</f>
        <v>13</v>
      </c>
      <c r="AI406">
        <f>SUMIF(Table1[[Country/Region]:[Country/Region]], "US", Table1[2/21/2020])</f>
        <v>15</v>
      </c>
      <c r="AJ406">
        <f>SUMIF(Table1[[Country/Region]:[Country/Region]], "US", Table1[2/22/2020])</f>
        <v>15</v>
      </c>
      <c r="AK406">
        <f>SUMIF(Table1[[Country/Region]:[Country/Region]], "US", Table1[2/23/2020])</f>
        <v>15</v>
      </c>
      <c r="AL406">
        <f>SUMIF(Table1[[Country/Region]:[Country/Region]], "US", Table1[2/24/2020])</f>
        <v>51</v>
      </c>
      <c r="AM406">
        <f>SUMIF(Table1[[Country/Region]:[Country/Region]], "US", Table1[2/25/2020])</f>
        <v>51</v>
      </c>
      <c r="AN406">
        <f>SUMIF(Table1[[Country/Region]:[Country/Region]], "US", Table1[2/26/2020])</f>
        <v>57</v>
      </c>
      <c r="AO406">
        <f>SUMIF(Table1[[Country/Region]:[Country/Region]], "US", Table1[2/27/2020])</f>
        <v>58</v>
      </c>
      <c r="AP406">
        <f>SUMIF(Table1[[Country/Region]:[Country/Region]], "US", Table1[2/28/2020])</f>
        <v>60</v>
      </c>
      <c r="AQ406">
        <f>SUMIF(Table1[[Country/Region]:[Country/Region]], "US", Table1[2/29/2020])</f>
        <v>68</v>
      </c>
      <c r="AR406">
        <f>SUMIF(Table1[[Country/Region]:[Country/Region]], "US", Table1[3/1/2020])</f>
        <v>74</v>
      </c>
      <c r="AS406">
        <f>SUMIF(Table1[[Country/Region]:[Country/Region]], "US", Table1[3/2/2020])</f>
        <v>98</v>
      </c>
      <c r="AT406">
        <f>SUMIF(Table1[[Country/Region]:[Country/Region]], "US", Table1[3/3/2020])</f>
        <v>118</v>
      </c>
      <c r="AU406">
        <f>SUMIF(Table1[[Country/Region]:[Country/Region]], "US", Table1[3/4/2020])</f>
        <v>149</v>
      </c>
      <c r="AV406">
        <f>SUMIF(Table1[[Country/Region]:[Country/Region]], "US", Table1[3/5/2020])</f>
        <v>217</v>
      </c>
      <c r="AW406">
        <f>SUMIF(Table1[[Country/Region]:[Country/Region]], "US", Table1[3/6/2020])</f>
        <v>262</v>
      </c>
      <c r="AX406">
        <f>SUMIF(Table1[[Country/Region]:[Country/Region]], "US", Table1[3/7/2020])</f>
        <v>402</v>
      </c>
      <c r="AY406">
        <f>SUMIF(Table1[[Country/Region]:[Country/Region]], "US", Table1[3/8/2020])</f>
        <v>518</v>
      </c>
      <c r="AZ406">
        <f>SUMIF(Table1[[Country/Region]:[Country/Region]], "US", Table1[3/9/2020])</f>
        <v>583</v>
      </c>
      <c r="BA406">
        <f>SUMIF(Table1[[Country/Region]:[Country/Region]], "US", Table1[3/10/2020])</f>
        <v>1665</v>
      </c>
      <c r="BB406">
        <f>SUMIF(Table1[[Country/Region]:[Country/Region]], "US", Table1[3/11/2020])</f>
        <v>2384</v>
      </c>
    </row>
    <row r="407" spans="1:54" x14ac:dyDescent="0.3">
      <c r="F407">
        <f>SUMIFS( Table1[1/23/2020], Table1[[Country/Region]:[Country/Region]], "US", Table1[[Province/State]:[Province/State]], "*,*")</f>
        <v>1</v>
      </c>
      <c r="G407">
        <f>SUMIFS( Table1[1/24/2020], Table1[[Country/Region]:[Country/Region]], "US", Table1[[Province/State]:[Province/State]], "*,*")</f>
        <v>2</v>
      </c>
      <c r="H407">
        <f>SUMIFS( Table1[1/25/2020], Table1[[Country/Region]:[Country/Region]], "US", Table1[[Province/State]:[Province/State]], "*,*")</f>
        <v>2</v>
      </c>
      <c r="I407">
        <f>SUMIFS( Table1[1/26/2020], Table1[[Country/Region]:[Country/Region]], "US", Table1[[Province/State]:[Province/State]], "*,*")</f>
        <v>5</v>
      </c>
      <c r="J407">
        <f>SUMIFS( Table1[1/27/2020], Table1[[Country/Region]:[Country/Region]], "US", Table1[[Province/State]:[Province/State]], "*,*")</f>
        <v>5</v>
      </c>
      <c r="K407">
        <f>SUMIFS( Table1[1/28/2020], Table1[[Country/Region]:[Country/Region]], "US", Table1[[Province/State]:[Province/State]], "*,*")</f>
        <v>5</v>
      </c>
      <c r="L407">
        <f>SUMIFS( Table1[1/29/2020], Table1[[Country/Region]:[Country/Region]], "US", Table1[[Province/State]:[Province/State]], "*,*")</f>
        <v>5</v>
      </c>
      <c r="M407">
        <f>SUMIFS( Table1[1/30/2020], Table1[[Country/Region]:[Country/Region]], "US", Table1[[Province/State]:[Province/State]], "*,*")</f>
        <v>5</v>
      </c>
      <c r="N407">
        <f>SUMIFS( Table1[1/31/2020], Table1[[Country/Region]:[Country/Region]], "US", Table1[[Province/State]:[Province/State]], "*,*")</f>
        <v>7</v>
      </c>
      <c r="O407">
        <f>SUMIFS( Table1[2/1/2020], Table1[[Country/Region]:[Country/Region]], "US", Table1[[Province/State]:[Province/State]], "*,*")</f>
        <v>8</v>
      </c>
      <c r="P407">
        <f>SUMIFS( Table1[2/2/2020], Table1[[Country/Region]:[Country/Region]], "US", Table1[[Province/State]:[Province/State]], "*,*")</f>
        <v>8</v>
      </c>
      <c r="Q407">
        <f>SUMIFS( Table1[2/3/2020], Table1[[Country/Region]:[Country/Region]], "US", Table1[[Province/State]:[Province/State]], "*,*")</f>
        <v>11</v>
      </c>
      <c r="R407">
        <f>SUMIFS( Table1[2/4/2020], Table1[[Country/Region]:[Country/Region]], "US", Table1[[Province/State]:[Province/State]], "*,*")</f>
        <v>11</v>
      </c>
      <c r="S407">
        <f>SUMIFS( Table1[2/5/2020], Table1[[Country/Region]:[Country/Region]], "US", Table1[[Province/State]:[Province/State]], "*,*")</f>
        <v>11</v>
      </c>
      <c r="T407">
        <f>SUMIFS( Table1[2/6/2020], Table1[[Country/Region]:[Country/Region]], "US", Table1[[Province/State]:[Province/State]], "*,*")</f>
        <v>11</v>
      </c>
      <c r="U407">
        <f>SUMIFS( Table1[2/7/2020], Table1[[Country/Region]:[Country/Region]], "US", Table1[[Province/State]:[Province/State]], "*,*")</f>
        <v>11</v>
      </c>
      <c r="V407">
        <f>SUMIFS( Table1[2/8/2020], Table1[[Country/Region]:[Country/Region]], "US", Table1[[Province/State]:[Province/State]], "*,*")</f>
        <v>11</v>
      </c>
      <c r="W407">
        <f>SUMIFS( Table1[2/9/2020], Table1[[Country/Region]:[Country/Region]], "US", Table1[[Province/State]:[Province/State]], "*,*")</f>
        <v>11</v>
      </c>
      <c r="X407">
        <f>SUMIFS( Table1[2/10/2020], Table1[[Country/Region]:[Country/Region]], "US", Table1[[Province/State]:[Province/State]], "*,*")</f>
        <v>11</v>
      </c>
      <c r="Y407">
        <f>SUMIFS( Table1[2/11/2020], Table1[[Country/Region]:[Country/Region]], "US", Table1[[Province/State]:[Province/State]], "*,*")</f>
        <v>12</v>
      </c>
      <c r="Z407">
        <f>SUMIFS( Table1[2/12/2020], Table1[[Country/Region]:[Country/Region]], "US", Table1[[Province/State]:[Province/State]], "*,*")</f>
        <v>12</v>
      </c>
      <c r="AA407">
        <f>SUMIFS( Table1[2/13/2020], Table1[[Country/Region]:[Country/Region]], "US", Table1[[Province/State]:[Province/State]], "*,*")</f>
        <v>13</v>
      </c>
      <c r="AB407">
        <f>SUMIFS( Table1[2/14/2020], Table1[[Country/Region]:[Country/Region]], "US", Table1[[Province/State]:[Province/State]], "*,*")</f>
        <v>13</v>
      </c>
      <c r="AC407">
        <f>SUMIFS( Table1[2/15/2020], Table1[[Country/Region]:[Country/Region]], "US", Table1[[Province/State]:[Province/State]], "*,*")</f>
        <v>13</v>
      </c>
      <c r="AD407">
        <f>SUMIFS( Table1[2/16/2020], Table1[[Country/Region]:[Country/Region]], "US", Table1[[Province/State]:[Province/State]], "*,*")</f>
        <v>13</v>
      </c>
      <c r="AE407">
        <f>SUMIFS( Table1[2/17/2020], Table1[[Country/Region]:[Country/Region]], "US", Table1[[Province/State]:[Province/State]], "*,*")</f>
        <v>13</v>
      </c>
      <c r="AF407">
        <f>SUMIFS( Table1[2/18/2020], Table1[[Country/Region]:[Country/Region]], "US", Table1[[Province/State]:[Province/State]], "*,*")</f>
        <v>13</v>
      </c>
      <c r="AG407">
        <f>SUMIFS( Table1[2/19/2020], Table1[[Country/Region]:[Country/Region]], "US", Table1[[Province/State]:[Province/State]], "*,*")</f>
        <v>13</v>
      </c>
      <c r="AH407">
        <f>SUMIFS( Table1[2/20/2020], Table1[[Country/Region]:[Country/Region]], "US", Table1[[Province/State]:[Province/State]], "*,*")</f>
        <v>13</v>
      </c>
      <c r="AI407">
        <f>SUMIFS( Table1[2/21/2020], Table1[[Country/Region]:[Country/Region]], "US", Table1[[Province/State]:[Province/State]], "*,*")</f>
        <v>15</v>
      </c>
      <c r="AJ407">
        <f>SUMIFS( Table1[2/22/2020], Table1[[Country/Region]:[Country/Region]], "US", Table1[[Province/State]:[Province/State]], "*,*")</f>
        <v>15</v>
      </c>
      <c r="AK407">
        <f>SUMIFS( Table1[2/23/2020], Table1[[Country/Region]:[Country/Region]], "US", Table1[[Province/State]:[Province/State]], "*,*")</f>
        <v>15</v>
      </c>
      <c r="AL407">
        <f>SUMIFS( Table1[2/24/2020], Table1[[Country/Region]:[Country/Region]], "US", Table1[[Province/State]:[Province/State]], "*,*")</f>
        <v>15</v>
      </c>
      <c r="AM407">
        <f>SUMIFS( Table1[2/25/2020], Table1[[Country/Region]:[Country/Region]], "US", Table1[[Province/State]:[Province/State]], "*,*")</f>
        <v>15</v>
      </c>
      <c r="AN407">
        <f>SUMIFS( Table1[2/26/2020], Table1[[Country/Region]:[Country/Region]], "US", Table1[[Province/State]:[Province/State]], "*,*")</f>
        <v>15</v>
      </c>
      <c r="AO407">
        <f>SUMIFS( Table1[2/27/2020], Table1[[Country/Region]:[Country/Region]], "US", Table1[[Province/State]:[Province/State]], "*,*")</f>
        <v>16</v>
      </c>
      <c r="AP407">
        <f>SUMIFS( Table1[2/28/2020], Table1[[Country/Region]:[Country/Region]], "US", Table1[[Province/State]:[Province/State]], "*,*")</f>
        <v>16</v>
      </c>
      <c r="AQ407">
        <f>SUMIFS( Table1[2/29/2020], Table1[[Country/Region]:[Country/Region]], "US", Table1[[Province/State]:[Province/State]], "*,*")</f>
        <v>24</v>
      </c>
      <c r="AR407">
        <f>SUMIFS( Table1[3/1/2020], Table1[[Country/Region]:[Country/Region]], "US", Table1[[Province/State]:[Province/State]], "*,*")</f>
        <v>30</v>
      </c>
      <c r="AS407">
        <f>SUMIFS( Table1[3/2/2020], Table1[[Country/Region]:[Country/Region]], "US", Table1[[Province/State]:[Province/State]], "*,*")</f>
        <v>53</v>
      </c>
      <c r="AT407">
        <f>SUMIFS( Table1[3/3/2020], Table1[[Country/Region]:[Country/Region]], "US", Table1[[Province/State]:[Province/State]], "*,*")</f>
        <v>73</v>
      </c>
      <c r="AU407">
        <f>SUMIFS( Table1[3/4/2020], Table1[[Country/Region]:[Country/Region]], "US", Table1[[Province/State]:[Province/State]], "*,*")</f>
        <v>104</v>
      </c>
      <c r="AV407">
        <f>SUMIFS( Table1[3/5/2020], Table1[[Country/Region]:[Country/Region]], "US", Table1[[Province/State]:[Province/State]], "*,*")</f>
        <v>172</v>
      </c>
      <c r="AW407">
        <f>SUMIFS( Table1[3/6/2020], Table1[[Country/Region]:[Country/Region]], "US", Table1[[Province/State]:[Province/State]], "*,*")</f>
        <v>217</v>
      </c>
      <c r="AX407">
        <f>SUMIFS( Table1[3/7/2020], Table1[[Country/Region]:[Country/Region]], "US", Table1[[Province/State]:[Province/State]], "*,*")</f>
        <v>336</v>
      </c>
      <c r="AY407">
        <f>SUMIFS( Table1[3/8/2020], Table1[[Country/Region]:[Country/Region]], "US", Table1[[Province/State]:[Province/State]], "*,*")</f>
        <v>452</v>
      </c>
      <c r="AZ407">
        <f>SUMIFS( Table1[3/9/2020], Table1[[Country/Region]:[Country/Region]], "US", Table1[[Province/State]:[Province/State]], "*,*")</f>
        <v>517</v>
      </c>
      <c r="BA407">
        <f>SUMIFS( Table1[3/10/2020], Table1[[Country/Region]:[Country/Region]], "US", Table1[[Province/State]:[Province/State]], "*,*")</f>
        <v>706</v>
      </c>
      <c r="BB407">
        <f>SUMIFS( Table1[3/11/2020], Table1[[Country/Region]:[Country/Region]], "US", Table1[[Province/State]:[Province/State]], "*,*")</f>
        <v>1103</v>
      </c>
    </row>
    <row r="408" spans="1:54" x14ac:dyDescent="0.3">
      <c r="B408" t="s">
        <v>463</v>
      </c>
      <c r="E408">
        <f>SUMIF(Table1[[Country/Region]:[Country/Region]], "China", Table1[1/22/2020])</f>
        <v>548</v>
      </c>
      <c r="F408">
        <f>SUMIF(Table1[[Country/Region]:[Country/Region]], "China", Table1[1/23/2020])</f>
        <v>643</v>
      </c>
      <c r="G408">
        <f>SUMIF(Table1[[Country/Region]:[Country/Region]], "China", Table1[1/24/2020])</f>
        <v>920</v>
      </c>
      <c r="H408">
        <f>SUMIF(Table1[[Country/Region]:[Country/Region]], "China", Table1[1/25/2020])</f>
        <v>1406</v>
      </c>
      <c r="I408">
        <f>SUMIF(Table1[[Country/Region]:[Country/Region]], "China", Table1[1/26/2020])</f>
        <v>2075</v>
      </c>
      <c r="J408">
        <f>SUMIF(Table1[[Country/Region]:[Country/Region]], "China", Table1[1/27/2020])</f>
        <v>2877</v>
      </c>
      <c r="K408">
        <f>SUMIF(Table1[[Country/Region]:[Country/Region]], "China", Table1[1/28/2020])</f>
        <v>5509</v>
      </c>
      <c r="L408">
        <f>SUMIF(Table1[[Country/Region]:[Country/Region]], "China", Table1[1/29/2020])</f>
        <v>6087</v>
      </c>
      <c r="M408">
        <f>SUMIF(Table1[[Country/Region]:[Country/Region]], "China", Table1[1/30/2020])</f>
        <v>8141</v>
      </c>
      <c r="N408">
        <f>SUMIF(Table1[[Country/Region]:[Country/Region]], "China", Table1[1/31/2020])</f>
        <v>9802</v>
      </c>
      <c r="O408">
        <f>SUMIF(Table1[[Country/Region]:[Country/Region]], "China", Table1[2/1/2020])</f>
        <v>11891</v>
      </c>
      <c r="P408">
        <f>SUMIF(Table1[[Country/Region]:[Country/Region]], "China", Table1[2/2/2020])</f>
        <v>16630</v>
      </c>
      <c r="Q408">
        <f>SUMIF(Table1[[Country/Region]:[Country/Region]], "China", Table1[2/3/2020])</f>
        <v>19716</v>
      </c>
      <c r="R408">
        <f>SUMIF(Table1[[Country/Region]:[Country/Region]], "China", Table1[2/4/2020])</f>
        <v>23707</v>
      </c>
      <c r="S408">
        <f>SUMIF(Table1[[Country/Region]:[Country/Region]], "China", Table1[2/5/2020])</f>
        <v>27440</v>
      </c>
      <c r="T408">
        <f>SUMIF(Table1[[Country/Region]:[Country/Region]], "China", Table1[2/6/2020])</f>
        <v>30587</v>
      </c>
      <c r="U408">
        <f>SUMIF(Table1[[Country/Region]:[Country/Region]], "China", Table1[2/7/2020])</f>
        <v>34110</v>
      </c>
      <c r="V408">
        <f>SUMIF(Table1[[Country/Region]:[Country/Region]], "China", Table1[2/8/2020])</f>
        <v>36814</v>
      </c>
      <c r="W408">
        <f>SUMIF(Table1[[Country/Region]:[Country/Region]], "China", Table1[2/9/2020])</f>
        <v>39829</v>
      </c>
      <c r="X408">
        <f>SUMIF(Table1[[Country/Region]:[Country/Region]], "China", Table1[2/10/2020])</f>
        <v>42354</v>
      </c>
      <c r="Y408">
        <f>SUMIF(Table1[[Country/Region]:[Country/Region]], "China", Table1[2/11/2020])</f>
        <v>44386</v>
      </c>
      <c r="Z408">
        <f>SUMIF(Table1[[Country/Region]:[Country/Region]], "China", Table1[2/12/2020])</f>
        <v>44759</v>
      </c>
      <c r="AA408">
        <f>SUMIF(Table1[[Country/Region]:[Country/Region]], "China", Table1[2/13/2020])</f>
        <v>59895</v>
      </c>
      <c r="AB408">
        <f>SUMIF(Table1[[Country/Region]:[Country/Region]], "China", Table1[2/14/2020])</f>
        <v>66358</v>
      </c>
      <c r="AC408">
        <f>SUMIF(Table1[[Country/Region]:[Country/Region]], "China", Table1[2/15/2020])</f>
        <v>68413</v>
      </c>
      <c r="AD408">
        <f>SUMIF(Table1[[Country/Region]:[Country/Region]], "China", Table1[2/16/2020])</f>
        <v>70513</v>
      </c>
      <c r="AE408">
        <f>SUMIF(Table1[[Country/Region]:[Country/Region]], "China", Table1[2/17/2020])</f>
        <v>72434</v>
      </c>
      <c r="AF408">
        <f>SUMIF(Table1[[Country/Region]:[Country/Region]], "China", Table1[2/18/2020])</f>
        <v>74211</v>
      </c>
      <c r="AG408">
        <f>SUMIF(Table1[[Country/Region]:[Country/Region]], "China", Table1[2/19/2020])</f>
        <v>74619</v>
      </c>
      <c r="AH408">
        <f>SUMIF(Table1[[Country/Region]:[Country/Region]], "China", Table1[2/20/2020])</f>
        <v>75077</v>
      </c>
      <c r="AI408">
        <f>SUMIF(Table1[[Country/Region]:[Country/Region]], "China", Table1[2/21/2020])</f>
        <v>75550</v>
      </c>
      <c r="AJ408">
        <f>SUMIF(Table1[[Country/Region]:[Country/Region]], "China", Table1[2/22/2020])</f>
        <v>77001</v>
      </c>
      <c r="AK408">
        <f>SUMIF(Table1[[Country/Region]:[Country/Region]], "China", Table1[2/23/2020])</f>
        <v>77022</v>
      </c>
      <c r="AL408">
        <f>SUMIF(Table1[[Country/Region]:[Country/Region]], "China", Table1[2/24/2020])</f>
        <v>77241</v>
      </c>
      <c r="AM408">
        <f>SUMIF(Table1[[Country/Region]:[Country/Region]], "China", Table1[2/25/2020])</f>
        <v>77754</v>
      </c>
      <c r="AN408">
        <f>SUMIF(Table1[[Country/Region]:[Country/Region]], "China", Table1[2/26/2020])</f>
        <v>78166</v>
      </c>
      <c r="AO408">
        <f>SUMIF(Table1[[Country/Region]:[Country/Region]], "China", Table1[2/27/2020])</f>
        <v>78600</v>
      </c>
      <c r="AP408">
        <f>SUMIF(Table1[[Country/Region]:[Country/Region]], "China", Table1[2/28/2020])</f>
        <v>78928</v>
      </c>
      <c r="AQ408">
        <f>SUMIF(Table1[[Country/Region]:[Country/Region]], "China", Table1[2/29/2020])</f>
        <v>79356</v>
      </c>
      <c r="AR408">
        <f>SUMIF(Table1[[Country/Region]:[Country/Region]], "China", Table1[3/1/2020])</f>
        <v>79932</v>
      </c>
      <c r="AS408">
        <f>SUMIF(Table1[[Country/Region]:[Country/Region]], "China", Table1[3/2/2020])</f>
        <v>80136</v>
      </c>
      <c r="AT408">
        <f>SUMIF(Table1[[Country/Region]:[Country/Region]], "China", Table1[3/3/2020])</f>
        <v>80261</v>
      </c>
      <c r="AU408">
        <f>SUMIF(Table1[[Country/Region]:[Country/Region]], "China", Table1[3/4/2020])</f>
        <v>80386</v>
      </c>
      <c r="AV408">
        <f>SUMIF(Table1[[Country/Region]:[Country/Region]], "China", Table1[3/5/2020])</f>
        <v>80537</v>
      </c>
      <c r="AW408">
        <f>SUMIF(Table1[[Country/Region]:[Country/Region]], "China", Table1[3/6/2020])</f>
        <v>80690</v>
      </c>
      <c r="AX408">
        <f>SUMIF(Table1[[Country/Region]:[Country/Region]], "China", Table1[3/7/2020])</f>
        <v>80770</v>
      </c>
      <c r="AY408">
        <f>SUMIF(Table1[[Country/Region]:[Country/Region]], "China", Table1[3/8/2020])</f>
        <v>80823</v>
      </c>
      <c r="AZ408">
        <f>SUMIF(Table1[[Country/Region]:[Country/Region]], "China", Table1[3/9/2020])</f>
        <v>80860</v>
      </c>
      <c r="BA408">
        <f>SUMIF(Table1[[Country/Region]:[Country/Region]], "China", Table1[3/10/2020])</f>
        <v>80887</v>
      </c>
      <c r="BB408">
        <f>SUMIF(Table1[[Country/Region]:[Country/Region]], "China", Table1[3/11/2020])</f>
        <v>80921</v>
      </c>
    </row>
    <row r="411" spans="1:54" x14ac:dyDescent="0.3">
      <c r="B411" t="s">
        <v>464</v>
      </c>
      <c r="F411">
        <f>F13-E13</f>
        <v>0</v>
      </c>
      <c r="G411">
        <f t="shared" ref="G411:BB411" si="0">G13-F13</f>
        <v>0</v>
      </c>
      <c r="H411">
        <f t="shared" si="0"/>
        <v>0</v>
      </c>
      <c r="I411">
        <f t="shared" si="0"/>
        <v>0</v>
      </c>
      <c r="J411">
        <f t="shared" si="0"/>
        <v>1</v>
      </c>
      <c r="K411">
        <f t="shared" si="0"/>
        <v>3</v>
      </c>
      <c r="L411">
        <f t="shared" si="0"/>
        <v>0</v>
      </c>
      <c r="M411">
        <f t="shared" si="0"/>
        <v>0</v>
      </c>
      <c r="N411">
        <f t="shared" si="0"/>
        <v>1</v>
      </c>
      <c r="O411">
        <f t="shared" si="0"/>
        <v>3</v>
      </c>
      <c r="P411">
        <f t="shared" si="0"/>
        <v>2</v>
      </c>
      <c r="Q411">
        <f t="shared" si="0"/>
        <v>2</v>
      </c>
      <c r="R411">
        <f t="shared" si="0"/>
        <v>0</v>
      </c>
      <c r="S411">
        <f t="shared" si="0"/>
        <v>0</v>
      </c>
      <c r="T411">
        <f t="shared" si="0"/>
        <v>0</v>
      </c>
      <c r="U411">
        <f t="shared" si="0"/>
        <v>1</v>
      </c>
      <c r="V411">
        <f t="shared" si="0"/>
        <v>0</v>
      </c>
      <c r="W411">
        <f t="shared" si="0"/>
        <v>1</v>
      </c>
      <c r="X411">
        <f t="shared" si="0"/>
        <v>0</v>
      </c>
      <c r="Y411">
        <f t="shared" si="0"/>
        <v>2</v>
      </c>
      <c r="Z411">
        <f t="shared" si="0"/>
        <v>0</v>
      </c>
      <c r="AA411">
        <f t="shared" si="0"/>
        <v>0</v>
      </c>
      <c r="AB411">
        <f t="shared" si="0"/>
        <v>0</v>
      </c>
      <c r="AC411">
        <f t="shared" si="0"/>
        <v>0</v>
      </c>
      <c r="AD411">
        <f t="shared" si="0"/>
        <v>0</v>
      </c>
      <c r="AE411">
        <f t="shared" si="0"/>
        <v>0</v>
      </c>
      <c r="AF411">
        <f t="shared" si="0"/>
        <v>0</v>
      </c>
      <c r="AG411">
        <f t="shared" si="0"/>
        <v>0</v>
      </c>
      <c r="AH411">
        <f t="shared" si="0"/>
        <v>0</v>
      </c>
      <c r="AI411">
        <f t="shared" si="0"/>
        <v>0</v>
      </c>
      <c r="AJ411">
        <f t="shared" si="0"/>
        <v>0</v>
      </c>
      <c r="AK411">
        <f t="shared" si="0"/>
        <v>0</v>
      </c>
      <c r="AL411">
        <f t="shared" si="0"/>
        <v>0</v>
      </c>
      <c r="AM411">
        <f t="shared" si="0"/>
        <v>1</v>
      </c>
      <c r="AN411">
        <f t="shared" si="0"/>
        <v>10</v>
      </c>
      <c r="AO411">
        <f t="shared" si="0"/>
        <v>19</v>
      </c>
      <c r="AP411">
        <f t="shared" si="0"/>
        <v>2</v>
      </c>
      <c r="AQ411">
        <f t="shared" si="0"/>
        <v>31</v>
      </c>
      <c r="AR411">
        <f t="shared" si="0"/>
        <v>51</v>
      </c>
      <c r="AS411">
        <f t="shared" si="0"/>
        <v>29</v>
      </c>
      <c r="AT411">
        <f t="shared" si="0"/>
        <v>37</v>
      </c>
      <c r="AU411">
        <f t="shared" si="0"/>
        <v>66</v>
      </c>
      <c r="AV411">
        <f t="shared" si="0"/>
        <v>220</v>
      </c>
      <c r="AW411">
        <f t="shared" si="0"/>
        <v>188</v>
      </c>
      <c r="AX411">
        <f t="shared" si="0"/>
        <v>129</v>
      </c>
      <c r="AY411">
        <f t="shared" si="0"/>
        <v>241</v>
      </c>
      <c r="AZ411">
        <f t="shared" si="0"/>
        <v>136</v>
      </c>
      <c r="BA411">
        <f t="shared" si="0"/>
        <v>281</v>
      </c>
      <c r="BB411">
        <f t="shared" si="0"/>
        <v>451</v>
      </c>
    </row>
    <row r="412" spans="1:54" x14ac:dyDescent="0.3">
      <c r="B412" t="s">
        <v>465</v>
      </c>
      <c r="F412">
        <f>F18-E18</f>
        <v>0</v>
      </c>
      <c r="G412">
        <f t="shared" ref="G412:BB412" si="1">G18-F18</f>
        <v>0</v>
      </c>
      <c r="H412">
        <f t="shared" si="1"/>
        <v>0</v>
      </c>
      <c r="I412">
        <f t="shared" si="1"/>
        <v>0</v>
      </c>
      <c r="J412">
        <f t="shared" si="1"/>
        <v>0</v>
      </c>
      <c r="K412">
        <f t="shared" si="1"/>
        <v>0</v>
      </c>
      <c r="L412">
        <f t="shared" si="1"/>
        <v>0</v>
      </c>
      <c r="M412">
        <f t="shared" si="1"/>
        <v>0</v>
      </c>
      <c r="N412">
        <f t="shared" si="1"/>
        <v>2</v>
      </c>
      <c r="O412">
        <f t="shared" si="1"/>
        <v>0</v>
      </c>
      <c r="P412">
        <f t="shared" si="1"/>
        <v>0</v>
      </c>
      <c r="Q412">
        <f t="shared" si="1"/>
        <v>0</v>
      </c>
      <c r="R412">
        <f t="shared" si="1"/>
        <v>0</v>
      </c>
      <c r="S412">
        <f t="shared" si="1"/>
        <v>0</v>
      </c>
      <c r="T412">
        <f t="shared" si="1"/>
        <v>0</v>
      </c>
      <c r="U412">
        <f t="shared" si="1"/>
        <v>1</v>
      </c>
      <c r="V412">
        <f t="shared" si="1"/>
        <v>0</v>
      </c>
      <c r="W412">
        <f t="shared" si="1"/>
        <v>0</v>
      </c>
      <c r="X412">
        <f t="shared" si="1"/>
        <v>0</v>
      </c>
      <c r="Y412">
        <f t="shared" si="1"/>
        <v>0</v>
      </c>
      <c r="Z412">
        <f t="shared" si="1"/>
        <v>0</v>
      </c>
      <c r="AA412">
        <f t="shared" si="1"/>
        <v>0</v>
      </c>
      <c r="AB412">
        <f t="shared" si="1"/>
        <v>0</v>
      </c>
      <c r="AC412">
        <f t="shared" si="1"/>
        <v>0</v>
      </c>
      <c r="AD412">
        <f t="shared" si="1"/>
        <v>0</v>
      </c>
      <c r="AE412">
        <f t="shared" si="1"/>
        <v>0</v>
      </c>
      <c r="AF412">
        <f t="shared" si="1"/>
        <v>0</v>
      </c>
      <c r="AG412">
        <f t="shared" si="1"/>
        <v>0</v>
      </c>
      <c r="AH412">
        <f t="shared" si="1"/>
        <v>0</v>
      </c>
      <c r="AI412">
        <f t="shared" si="1"/>
        <v>17</v>
      </c>
      <c r="AJ412">
        <f t="shared" si="1"/>
        <v>42</v>
      </c>
      <c r="AK412">
        <f t="shared" si="1"/>
        <v>93</v>
      </c>
      <c r="AL412">
        <f t="shared" si="1"/>
        <v>74</v>
      </c>
      <c r="AM412">
        <f t="shared" si="1"/>
        <v>93</v>
      </c>
      <c r="AN412">
        <f t="shared" si="1"/>
        <v>131</v>
      </c>
      <c r="AO412">
        <f t="shared" si="1"/>
        <v>202</v>
      </c>
      <c r="AP412">
        <f t="shared" si="1"/>
        <v>233</v>
      </c>
      <c r="AQ412">
        <f t="shared" si="1"/>
        <v>240</v>
      </c>
      <c r="AR412">
        <f t="shared" si="1"/>
        <v>566</v>
      </c>
      <c r="AS412">
        <f t="shared" si="1"/>
        <v>342</v>
      </c>
      <c r="AT412">
        <f t="shared" si="1"/>
        <v>466</v>
      </c>
      <c r="AU412">
        <f t="shared" si="1"/>
        <v>587</v>
      </c>
      <c r="AV412">
        <f t="shared" si="1"/>
        <v>769</v>
      </c>
      <c r="AW412">
        <f t="shared" si="1"/>
        <v>778</v>
      </c>
      <c r="AX412">
        <f t="shared" si="1"/>
        <v>1247</v>
      </c>
      <c r="AY412">
        <f t="shared" si="1"/>
        <v>1492</v>
      </c>
      <c r="AZ412">
        <f t="shared" si="1"/>
        <v>1797</v>
      </c>
      <c r="BA412">
        <f t="shared" si="1"/>
        <v>977</v>
      </c>
      <c r="BB412">
        <f t="shared" si="1"/>
        <v>2313</v>
      </c>
    </row>
    <row r="413" spans="1:54" x14ac:dyDescent="0.3">
      <c r="B413" t="s">
        <v>466</v>
      </c>
      <c r="F413">
        <f>F406-E406</f>
        <v>0</v>
      </c>
      <c r="G413">
        <f t="shared" ref="G413:BB413" si="2">G406-F406</f>
        <v>1</v>
      </c>
      <c r="H413">
        <f t="shared" si="2"/>
        <v>0</v>
      </c>
      <c r="I413">
        <f t="shared" si="2"/>
        <v>3</v>
      </c>
      <c r="J413">
        <f t="shared" si="2"/>
        <v>0</v>
      </c>
      <c r="K413">
        <f t="shared" si="2"/>
        <v>0</v>
      </c>
      <c r="L413">
        <f t="shared" si="2"/>
        <v>0</v>
      </c>
      <c r="M413">
        <f t="shared" si="2"/>
        <v>0</v>
      </c>
      <c r="N413">
        <f t="shared" si="2"/>
        <v>2</v>
      </c>
      <c r="O413">
        <f t="shared" si="2"/>
        <v>1</v>
      </c>
      <c r="P413">
        <f t="shared" si="2"/>
        <v>0</v>
      </c>
      <c r="Q413">
        <f t="shared" si="2"/>
        <v>3</v>
      </c>
      <c r="R413">
        <f t="shared" si="2"/>
        <v>0</v>
      </c>
      <c r="S413">
        <f t="shared" si="2"/>
        <v>0</v>
      </c>
      <c r="T413">
        <f t="shared" si="2"/>
        <v>0</v>
      </c>
      <c r="U413">
        <f t="shared" si="2"/>
        <v>0</v>
      </c>
      <c r="V413">
        <f t="shared" si="2"/>
        <v>0</v>
      </c>
      <c r="W413">
        <f t="shared" si="2"/>
        <v>0</v>
      </c>
      <c r="X413">
        <f t="shared" si="2"/>
        <v>0</v>
      </c>
      <c r="Y413">
        <f t="shared" si="2"/>
        <v>1</v>
      </c>
      <c r="Z413">
        <f t="shared" si="2"/>
        <v>0</v>
      </c>
      <c r="AA413">
        <f t="shared" si="2"/>
        <v>1</v>
      </c>
      <c r="AB413">
        <f t="shared" si="2"/>
        <v>0</v>
      </c>
      <c r="AC413">
        <f t="shared" si="2"/>
        <v>0</v>
      </c>
      <c r="AD413">
        <f t="shared" si="2"/>
        <v>0</v>
      </c>
      <c r="AE413">
        <f t="shared" si="2"/>
        <v>0</v>
      </c>
      <c r="AF413">
        <f t="shared" si="2"/>
        <v>0</v>
      </c>
      <c r="AG413">
        <f t="shared" si="2"/>
        <v>0</v>
      </c>
      <c r="AH413">
        <f t="shared" si="2"/>
        <v>0</v>
      </c>
      <c r="AI413">
        <f t="shared" si="2"/>
        <v>2</v>
      </c>
      <c r="AJ413">
        <f t="shared" si="2"/>
        <v>0</v>
      </c>
      <c r="AK413">
        <f t="shared" si="2"/>
        <v>0</v>
      </c>
      <c r="AL413">
        <f t="shared" si="2"/>
        <v>36</v>
      </c>
      <c r="AM413">
        <f t="shared" si="2"/>
        <v>0</v>
      </c>
      <c r="AN413">
        <f t="shared" si="2"/>
        <v>6</v>
      </c>
      <c r="AO413">
        <f t="shared" si="2"/>
        <v>1</v>
      </c>
      <c r="AP413">
        <f t="shared" si="2"/>
        <v>2</v>
      </c>
      <c r="AQ413">
        <f t="shared" si="2"/>
        <v>8</v>
      </c>
      <c r="AR413">
        <f t="shared" si="2"/>
        <v>6</v>
      </c>
      <c r="AS413">
        <f t="shared" si="2"/>
        <v>24</v>
      </c>
      <c r="AT413">
        <f t="shared" si="2"/>
        <v>20</v>
      </c>
      <c r="AU413">
        <f t="shared" si="2"/>
        <v>31</v>
      </c>
      <c r="AV413">
        <f t="shared" si="2"/>
        <v>68</v>
      </c>
      <c r="AW413">
        <f t="shared" si="2"/>
        <v>45</v>
      </c>
      <c r="AX413">
        <f t="shared" si="2"/>
        <v>140</v>
      </c>
      <c r="AY413">
        <f t="shared" si="2"/>
        <v>116</v>
      </c>
      <c r="AZ413">
        <f t="shared" si="2"/>
        <v>65</v>
      </c>
      <c r="BA413">
        <f t="shared" si="2"/>
        <v>1082</v>
      </c>
      <c r="BB413">
        <f t="shared" si="2"/>
        <v>719</v>
      </c>
    </row>
    <row r="414" spans="1:54" x14ac:dyDescent="0.3">
      <c r="A414" t="s">
        <v>467</v>
      </c>
      <c r="K414">
        <f>AVERAGE(G413:K413)</f>
        <v>0.8</v>
      </c>
      <c r="L414">
        <f>AVERAGE(H413:L413)</f>
        <v>0.6</v>
      </c>
      <c r="M414">
        <f t="shared" ref="M414:BB414" si="3">AVERAGE(I413:M413)</f>
        <v>0.6</v>
      </c>
      <c r="N414">
        <f t="shared" si="3"/>
        <v>0.4</v>
      </c>
      <c r="O414">
        <f t="shared" si="3"/>
        <v>0.6</v>
      </c>
      <c r="P414">
        <f t="shared" si="3"/>
        <v>0.6</v>
      </c>
      <c r="Q414">
        <f t="shared" si="3"/>
        <v>1.2</v>
      </c>
      <c r="R414">
        <f t="shared" si="3"/>
        <v>1.2</v>
      </c>
      <c r="S414">
        <f t="shared" si="3"/>
        <v>0.8</v>
      </c>
      <c r="T414">
        <f t="shared" si="3"/>
        <v>0.6</v>
      </c>
      <c r="U414">
        <f t="shared" si="3"/>
        <v>0.6</v>
      </c>
      <c r="V414">
        <f t="shared" si="3"/>
        <v>0</v>
      </c>
      <c r="W414">
        <f t="shared" si="3"/>
        <v>0</v>
      </c>
      <c r="X414">
        <f t="shared" si="3"/>
        <v>0</v>
      </c>
      <c r="Y414">
        <f t="shared" si="3"/>
        <v>0.2</v>
      </c>
      <c r="Z414">
        <f t="shared" si="3"/>
        <v>0.2</v>
      </c>
      <c r="AA414">
        <f t="shared" si="3"/>
        <v>0.4</v>
      </c>
      <c r="AB414">
        <f t="shared" si="3"/>
        <v>0.4</v>
      </c>
      <c r="AC414">
        <f t="shared" si="3"/>
        <v>0.4</v>
      </c>
      <c r="AD414">
        <f t="shared" si="3"/>
        <v>0.2</v>
      </c>
      <c r="AE414">
        <f t="shared" si="3"/>
        <v>0.2</v>
      </c>
      <c r="AF414">
        <f t="shared" si="3"/>
        <v>0</v>
      </c>
      <c r="AG414">
        <f t="shared" si="3"/>
        <v>0</v>
      </c>
      <c r="AH414">
        <f t="shared" si="3"/>
        <v>0</v>
      </c>
      <c r="AI414">
        <f t="shared" si="3"/>
        <v>0.4</v>
      </c>
      <c r="AJ414">
        <f t="shared" si="3"/>
        <v>0.4</v>
      </c>
      <c r="AK414">
        <f t="shared" si="3"/>
        <v>0.4</v>
      </c>
      <c r="AL414">
        <f t="shared" si="3"/>
        <v>7.6</v>
      </c>
      <c r="AM414">
        <f t="shared" si="3"/>
        <v>7.6</v>
      </c>
      <c r="AN414">
        <f t="shared" si="3"/>
        <v>8.4</v>
      </c>
      <c r="AO414">
        <f t="shared" si="3"/>
        <v>8.6</v>
      </c>
      <c r="AP414">
        <f t="shared" si="3"/>
        <v>9</v>
      </c>
      <c r="AQ414">
        <f t="shared" si="3"/>
        <v>3.4</v>
      </c>
      <c r="AR414">
        <f t="shared" si="3"/>
        <v>4.5999999999999996</v>
      </c>
      <c r="AS414">
        <f t="shared" si="3"/>
        <v>8.1999999999999993</v>
      </c>
      <c r="AT414">
        <f t="shared" si="3"/>
        <v>12</v>
      </c>
      <c r="AU414">
        <f t="shared" si="3"/>
        <v>17.8</v>
      </c>
      <c r="AV414">
        <f t="shared" si="3"/>
        <v>29.8</v>
      </c>
      <c r="AW414">
        <f t="shared" si="3"/>
        <v>37.6</v>
      </c>
      <c r="AX414">
        <f t="shared" si="3"/>
        <v>60.8</v>
      </c>
      <c r="AY414">
        <f t="shared" si="3"/>
        <v>80</v>
      </c>
      <c r="AZ414">
        <f t="shared" si="3"/>
        <v>86.8</v>
      </c>
      <c r="BA414">
        <f t="shared" si="3"/>
        <v>289.60000000000002</v>
      </c>
      <c r="BB414">
        <f t="shared" si="3"/>
        <v>424.4</v>
      </c>
    </row>
    <row r="415" spans="1:54" x14ac:dyDescent="0.3">
      <c r="A415" t="s">
        <v>468</v>
      </c>
      <c r="K415">
        <f>AVERAGE(G412:K412)</f>
        <v>0</v>
      </c>
      <c r="L415">
        <f>AVERAGE(H412:L412)</f>
        <v>0</v>
      </c>
      <c r="M415">
        <f t="shared" ref="M415:BB415" si="4">AVERAGE(I412:M412)</f>
        <v>0</v>
      </c>
      <c r="N415">
        <f t="shared" si="4"/>
        <v>0.4</v>
      </c>
      <c r="O415">
        <f t="shared" si="4"/>
        <v>0.4</v>
      </c>
      <c r="P415">
        <f t="shared" si="4"/>
        <v>0.4</v>
      </c>
      <c r="Q415">
        <f t="shared" si="4"/>
        <v>0.4</v>
      </c>
      <c r="R415">
        <f t="shared" si="4"/>
        <v>0.4</v>
      </c>
      <c r="S415">
        <f t="shared" si="4"/>
        <v>0</v>
      </c>
      <c r="T415">
        <f t="shared" si="4"/>
        <v>0</v>
      </c>
      <c r="U415">
        <f t="shared" si="4"/>
        <v>0.2</v>
      </c>
      <c r="V415">
        <f t="shared" si="4"/>
        <v>0.2</v>
      </c>
      <c r="W415">
        <f t="shared" si="4"/>
        <v>0.2</v>
      </c>
      <c r="X415">
        <f t="shared" si="4"/>
        <v>0.2</v>
      </c>
      <c r="Y415">
        <f t="shared" si="4"/>
        <v>0.2</v>
      </c>
      <c r="Z415">
        <f t="shared" si="4"/>
        <v>0</v>
      </c>
      <c r="AA415">
        <f t="shared" si="4"/>
        <v>0</v>
      </c>
      <c r="AB415">
        <f t="shared" si="4"/>
        <v>0</v>
      </c>
      <c r="AC415">
        <f t="shared" si="4"/>
        <v>0</v>
      </c>
      <c r="AD415">
        <f t="shared" si="4"/>
        <v>0</v>
      </c>
      <c r="AE415">
        <f t="shared" si="4"/>
        <v>0</v>
      </c>
      <c r="AF415">
        <f t="shared" si="4"/>
        <v>0</v>
      </c>
      <c r="AG415">
        <f t="shared" si="4"/>
        <v>0</v>
      </c>
      <c r="AH415">
        <f t="shared" si="4"/>
        <v>0</v>
      </c>
      <c r="AI415">
        <f t="shared" si="4"/>
        <v>3.4</v>
      </c>
      <c r="AJ415">
        <f t="shared" si="4"/>
        <v>11.8</v>
      </c>
      <c r="AK415">
        <f t="shared" si="4"/>
        <v>30.4</v>
      </c>
      <c r="AL415">
        <f t="shared" si="4"/>
        <v>45.2</v>
      </c>
      <c r="AM415">
        <f t="shared" si="4"/>
        <v>63.8</v>
      </c>
      <c r="AN415">
        <f t="shared" si="4"/>
        <v>86.6</v>
      </c>
      <c r="AO415">
        <f t="shared" si="4"/>
        <v>118.6</v>
      </c>
      <c r="AP415">
        <f t="shared" si="4"/>
        <v>146.6</v>
      </c>
      <c r="AQ415">
        <f t="shared" si="4"/>
        <v>179.8</v>
      </c>
      <c r="AR415">
        <f t="shared" si="4"/>
        <v>274.39999999999998</v>
      </c>
      <c r="AS415">
        <f t="shared" si="4"/>
        <v>316.60000000000002</v>
      </c>
      <c r="AT415">
        <f t="shared" si="4"/>
        <v>369.4</v>
      </c>
      <c r="AU415">
        <f t="shared" si="4"/>
        <v>440.2</v>
      </c>
      <c r="AV415">
        <f t="shared" si="4"/>
        <v>546</v>
      </c>
      <c r="AW415">
        <f t="shared" si="4"/>
        <v>588.4</v>
      </c>
      <c r="AX415">
        <f t="shared" si="4"/>
        <v>769.4</v>
      </c>
      <c r="AY415">
        <f t="shared" si="4"/>
        <v>974.6</v>
      </c>
      <c r="AZ415">
        <f t="shared" si="4"/>
        <v>1216.5999999999999</v>
      </c>
      <c r="BA415">
        <f t="shared" si="4"/>
        <v>1258.2</v>
      </c>
      <c r="BB415">
        <f t="shared" si="4"/>
        <v>1565.2</v>
      </c>
    </row>
    <row r="416" spans="1:54" x14ac:dyDescent="0.3">
      <c r="A416" t="s">
        <v>469</v>
      </c>
      <c r="I416">
        <f t="shared" ref="I416:AQ416" si="5">R414</f>
        <v>1.2</v>
      </c>
      <c r="J416">
        <f t="shared" si="5"/>
        <v>0.8</v>
      </c>
      <c r="K416">
        <f t="shared" si="5"/>
        <v>0.6</v>
      </c>
      <c r="L416">
        <f t="shared" si="5"/>
        <v>0.6</v>
      </c>
      <c r="M416">
        <f t="shared" si="5"/>
        <v>0</v>
      </c>
      <c r="N416">
        <f t="shared" si="5"/>
        <v>0</v>
      </c>
      <c r="O416">
        <f t="shared" si="5"/>
        <v>0</v>
      </c>
      <c r="P416">
        <f t="shared" si="5"/>
        <v>0.2</v>
      </c>
      <c r="Q416">
        <f t="shared" si="5"/>
        <v>0.2</v>
      </c>
      <c r="R416">
        <f t="shared" si="5"/>
        <v>0.4</v>
      </c>
      <c r="S416">
        <f t="shared" si="5"/>
        <v>0.4</v>
      </c>
      <c r="T416">
        <f t="shared" si="5"/>
        <v>0.4</v>
      </c>
      <c r="U416">
        <f t="shared" si="5"/>
        <v>0.2</v>
      </c>
      <c r="V416">
        <f t="shared" si="5"/>
        <v>0.2</v>
      </c>
      <c r="W416">
        <f t="shared" si="5"/>
        <v>0</v>
      </c>
      <c r="X416">
        <f t="shared" si="5"/>
        <v>0</v>
      </c>
      <c r="Y416">
        <f t="shared" si="5"/>
        <v>0</v>
      </c>
      <c r="Z416">
        <f t="shared" si="5"/>
        <v>0.4</v>
      </c>
      <c r="AA416">
        <f t="shared" si="5"/>
        <v>0.4</v>
      </c>
      <c r="AB416">
        <f t="shared" si="5"/>
        <v>0.4</v>
      </c>
      <c r="AC416">
        <f t="shared" si="5"/>
        <v>7.6</v>
      </c>
      <c r="AD416">
        <f t="shared" si="5"/>
        <v>7.6</v>
      </c>
      <c r="AE416">
        <f t="shared" si="5"/>
        <v>8.4</v>
      </c>
      <c r="AF416">
        <f t="shared" si="5"/>
        <v>8.6</v>
      </c>
      <c r="AG416">
        <f t="shared" si="5"/>
        <v>9</v>
      </c>
      <c r="AH416">
        <f t="shared" si="5"/>
        <v>3.4</v>
      </c>
      <c r="AI416">
        <f t="shared" si="5"/>
        <v>4.5999999999999996</v>
      </c>
      <c r="AJ416">
        <f t="shared" si="5"/>
        <v>8.1999999999999993</v>
      </c>
      <c r="AK416">
        <f t="shared" si="5"/>
        <v>12</v>
      </c>
      <c r="AL416">
        <f t="shared" si="5"/>
        <v>17.8</v>
      </c>
      <c r="AM416">
        <f t="shared" si="5"/>
        <v>29.8</v>
      </c>
      <c r="AN416">
        <f t="shared" si="5"/>
        <v>37.6</v>
      </c>
      <c r="AO416">
        <f t="shared" si="5"/>
        <v>60.8</v>
      </c>
      <c r="AP416">
        <f t="shared" si="5"/>
        <v>80</v>
      </c>
      <c r="AQ416">
        <f t="shared" si="5"/>
        <v>86.8</v>
      </c>
      <c r="AR416">
        <f>BA414</f>
        <v>289.60000000000002</v>
      </c>
      <c r="AS416">
        <f>BB414</f>
        <v>424.4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Umland</dc:creator>
  <cp:lastModifiedBy>Peter Umland</cp:lastModifiedBy>
  <dcterms:created xsi:type="dcterms:W3CDTF">2020-03-12T19:10:12Z</dcterms:created>
  <dcterms:modified xsi:type="dcterms:W3CDTF">2020-03-13T21:41:09Z</dcterms:modified>
</cp:coreProperties>
</file>