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COVID - Cost\"/>
    </mc:Choice>
  </mc:AlternateContent>
  <xr:revisionPtr revIDLastSave="0" documentId="13_ncr:1_{A5608CC9-CE4A-4926-B0B2-13DF5BB356F0}" xr6:coauthVersionLast="46" xr6:coauthVersionMax="46" xr10:uidLastSave="{00000000-0000-0000-0000-000000000000}"/>
  <bookViews>
    <workbookView xWindow="-17010" yWindow="2655" windowWidth="16695" windowHeight="13410" xr2:uid="{753EF615-31F4-4CF3-A7EB-5C6EDE419B05}"/>
  </bookViews>
  <sheets>
    <sheet name="Calc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" i="1" l="1"/>
  <c r="G17" i="1"/>
  <c r="C35" i="1"/>
  <c r="D35" i="1"/>
  <c r="C37" i="1"/>
  <c r="C45" i="1"/>
  <c r="F52" i="1"/>
  <c r="G52" i="1"/>
  <c r="G53" i="1"/>
  <c r="G54" i="1"/>
  <c r="G55" i="1"/>
  <c r="G56" i="1"/>
  <c r="G57" i="1"/>
  <c r="G58" i="1"/>
  <c r="G59" i="1"/>
  <c r="G60" i="1"/>
  <c r="G61" i="1"/>
  <c r="F61" i="1"/>
  <c r="H52" i="1"/>
  <c r="H53" i="1"/>
  <c r="H54" i="1"/>
  <c r="H55" i="1"/>
  <c r="H56" i="1"/>
  <c r="H57" i="1"/>
  <c r="H58" i="1"/>
  <c r="H59" i="1"/>
  <c r="H60" i="1"/>
  <c r="H61" i="1"/>
  <c r="C17" i="1"/>
  <c r="B17" i="1"/>
  <c r="D17" i="1"/>
  <c r="C42" i="1"/>
  <c r="C22" i="1"/>
  <c r="C23" i="1"/>
  <c r="C43" i="1"/>
  <c r="C27" i="1"/>
  <c r="C31" i="1"/>
  <c r="C46" i="1"/>
  <c r="C49" i="1"/>
  <c r="I57" i="1"/>
  <c r="J57" i="1"/>
  <c r="I53" i="1"/>
  <c r="I54" i="1"/>
  <c r="J54" i="1"/>
  <c r="I55" i="1"/>
  <c r="I56" i="1"/>
  <c r="I58" i="1"/>
  <c r="J58" i="1"/>
  <c r="I59" i="1"/>
  <c r="I60" i="1"/>
  <c r="I52" i="1"/>
  <c r="J55" i="1"/>
  <c r="J56" i="1"/>
  <c r="J59" i="1"/>
  <c r="J60" i="1"/>
  <c r="J53" i="1"/>
  <c r="J52" i="1"/>
  <c r="H63" i="1" a="1"/>
  <c r="H63" i="1"/>
  <c r="C28" i="1"/>
  <c r="I29" i="1"/>
  <c r="G32" i="1"/>
  <c r="H32" i="1"/>
  <c r="I28" i="1"/>
  <c r="D8" i="1"/>
  <c r="D9" i="1"/>
  <c r="D10" i="1"/>
  <c r="D11" i="1"/>
  <c r="D12" i="1"/>
  <c r="D13" i="1"/>
  <c r="D14" i="1"/>
  <c r="D15" i="1"/>
  <c r="D6" i="1"/>
  <c r="D7" i="1"/>
  <c r="D5" i="1"/>
  <c r="J61" i="1"/>
  <c r="I32" i="1"/>
  <c r="K35" i="1"/>
  <c r="D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<sst xmlns="http://schemas.openxmlformats.org/spreadsheetml/2006/main" count="78" uniqueCount="74">
  <si>
    <t>Real GDP</t>
  </si>
  <si>
    <t>Year</t>
  </si>
  <si>
    <t>TOTAL</t>
  </si>
  <si>
    <t>Under 1 year</t>
  </si>
  <si>
    <t>1–4 years</t>
  </si>
  <si>
    <t>5–14 years</t>
  </si>
  <si>
    <t>15–24 years</t>
  </si>
  <si>
    <t>25–34 years</t>
  </si>
  <si>
    <t>35–44 years</t>
  </si>
  <si>
    <t>45–54 years</t>
  </si>
  <si>
    <t>55–64 years</t>
  </si>
  <si>
    <t>65–74 years</t>
  </si>
  <si>
    <t>75–84 years</t>
  </si>
  <si>
    <t>85 years and over</t>
  </si>
  <si>
    <t>Total</t>
  </si>
  <si>
    <t>Age</t>
  </si>
  <si>
    <t xml:space="preserve">   $100K</t>
  </si>
  <si>
    <t>Value (bn)</t>
  </si>
  <si>
    <t>Symptoms of:</t>
  </si>
  <si>
    <t xml:space="preserve">        Jan-Jun 2019</t>
  </si>
  <si>
    <t xml:space="preserve">      July 16-21 2020</t>
  </si>
  <si>
    <t>Weight</t>
  </si>
  <si>
    <t>Anxiety disorder</t>
  </si>
  <si>
    <t>Depressive disorder</t>
  </si>
  <si>
    <t>Either</t>
  </si>
  <si>
    <t>Mental Health</t>
  </si>
  <si>
    <t>Change</t>
  </si>
  <si>
    <t>Anx, no dep</t>
  </si>
  <si>
    <t>Increase in QOL lost</t>
  </si>
  <si>
    <t>2019: https://www.cdc.gov/nchs/data/nhis/earlyrelease/ERmentalhealth-508.pdf</t>
  </si>
  <si>
    <t>2020: https://www.cdc.gov/nchs/covid19/pulse/mental-health.htm</t>
  </si>
  <si>
    <t>Economic cost, 2020&amp;2021</t>
  </si>
  <si>
    <t>Mortality cost</t>
  </si>
  <si>
    <t>Summary (billion)</t>
  </si>
  <si>
    <t>US adults</t>
  </si>
  <si>
    <t>MH Cost</t>
  </si>
  <si>
    <t>Long-term complications</t>
  </si>
  <si>
    <t>Pop</t>
  </si>
  <si>
    <t>per capita</t>
  </si>
  <si>
    <t>30-39</t>
  </si>
  <si>
    <t>40-49</t>
  </si>
  <si>
    <t>50-59</t>
  </si>
  <si>
    <t>0-9</t>
  </si>
  <si>
    <t>10-19</t>
  </si>
  <si>
    <t>20-29</t>
  </si>
  <si>
    <t>60-69</t>
  </si>
  <si>
    <t>70-79</t>
  </si>
  <si>
    <t>80+</t>
  </si>
  <si>
    <t>Psev</t>
  </si>
  <si>
    <t>Pdeath</t>
  </si>
  <si>
    <t>Pcrit</t>
  </si>
  <si>
    <t>COVASIM, Table 1</t>
  </si>
  <si>
    <t>Deaths*</t>
  </si>
  <si>
    <t>* Off by 5 years (0-4, 5-14, 15-24, …)</t>
  </si>
  <si>
    <t>Critical + Severe</t>
  </si>
  <si>
    <t>AAP: 9.8% of cases are children</t>
  </si>
  <si>
    <t>Cases</t>
  </si>
  <si>
    <t>LE at mid</t>
  </si>
  <si>
    <t>C+S, Survive</t>
  </si>
  <si>
    <t>Psymptom</t>
  </si>
  <si>
    <t>DEATHS</t>
  </si>
  <si>
    <t>SURVIVORS</t>
  </si>
  <si>
    <t>MENTAL HEALTH</t>
  </si>
  <si>
    <t>Mean LE</t>
  </si>
  <si>
    <t xml:space="preserve">  People</t>
  </si>
  <si>
    <t xml:space="preserve">  Years/person</t>
  </si>
  <si>
    <t xml:space="preserve">  Share who lose</t>
  </si>
  <si>
    <t xml:space="preserve">  Loss</t>
  </si>
  <si>
    <t xml:space="preserve">  Value</t>
  </si>
  <si>
    <t>Non-C&amp;S Cases</t>
  </si>
  <si>
    <t>Cases through May 30</t>
  </si>
  <si>
    <t>Current deaths</t>
  </si>
  <si>
    <t>Forecast deaths</t>
  </si>
  <si>
    <t>% of annual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</si>
</sst>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_(&quot;$&quot;* #,##0_);_(&quot;$&quot;* \(#,##0\);_(&quot;$&quot;* &quot;-&quot;??_);_(@_)"/>
    <numFmt numFmtId="170" formatCode="0.00000"/>
    <numFmt numFmtId="171" formatCode="_(* #,##0.0_);_(* \(#,##0.0\);_(* &quot;-&quot;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393D40"/>
      <name val="Arial"/>
      <family val="2"/>
    </font>
    <font>
      <sz val="11"/>
      <color rgb="FF393D4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3" fillId="0" borderId="0"/>
  </cellStyleXfs>
  <cellXfs count="55">
    <xf numFmtId="0" fontId="0" fillId="0" borderId="0" xfId="0"/>
    <xf numFmtId="0" fontId="0" fillId="0" borderId="1" xfId="0" applyBorder="1"/>
    <xf numFmtId="17" fontId="0" fillId="0" borderId="1" xfId="0" applyNumberFormat="1" applyBorder="1"/>
    <xf numFmtId="1" fontId="4" fillId="0" borderId="0" xfId="3" applyNumberFormat="1" applyFont="1"/>
    <xf numFmtId="1" fontId="4" fillId="2" borderId="0" xfId="3" applyNumberFormat="1" applyFont="1" applyFill="1"/>
    <xf numFmtId="164" fontId="4" fillId="3" borderId="0" xfId="1" applyNumberFormat="1" applyFont="1" applyFill="1"/>
    <xf numFmtId="164" fontId="0" fillId="0" borderId="0" xfId="0" applyNumberFormat="1"/>
    <xf numFmtId="3" fontId="0" fillId="0" borderId="0" xfId="0" applyNumberFormat="1"/>
    <xf numFmtId="0" fontId="0" fillId="0" borderId="0" xfId="0" applyFill="1"/>
    <xf numFmtId="0" fontId="5" fillId="0" borderId="0" xfId="0" applyFont="1" applyFill="1" applyAlignment="1">
      <alignment vertical="center" wrapText="1"/>
    </xf>
    <xf numFmtId="3" fontId="6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167" fontId="0" fillId="0" borderId="0" xfId="2" applyNumberFormat="1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0" fontId="0" fillId="0" borderId="0" xfId="0" applyNumberFormat="1"/>
    <xf numFmtId="10" fontId="8" fillId="0" borderId="0" xfId="0" applyNumberFormat="1" applyFont="1" applyAlignment="1">
      <alignment vertical="center"/>
    </xf>
    <xf numFmtId="0" fontId="9" fillId="0" borderId="0" xfId="4" applyAlignment="1">
      <alignment vertical="center"/>
    </xf>
    <xf numFmtId="1" fontId="0" fillId="0" borderId="0" xfId="0" applyNumberFormat="1" applyFill="1" applyAlignment="1">
      <alignment horizontal="right"/>
    </xf>
    <xf numFmtId="3" fontId="0" fillId="0" borderId="0" xfId="0" applyNumberFormat="1" applyFill="1"/>
    <xf numFmtId="0" fontId="0" fillId="4" borderId="0" xfId="0" applyFill="1" applyBorder="1"/>
    <xf numFmtId="164" fontId="0" fillId="4" borderId="0" xfId="0" applyNumberFormat="1" applyFill="1" applyBorder="1"/>
    <xf numFmtId="167" fontId="0" fillId="4" borderId="0" xfId="0" applyNumberFormat="1" applyFill="1" applyBorder="1" applyAlignment="1">
      <alignment horizontal="right"/>
    </xf>
    <xf numFmtId="0" fontId="0" fillId="4" borderId="1" xfId="0" applyFill="1" applyBorder="1"/>
    <xf numFmtId="164" fontId="0" fillId="4" borderId="1" xfId="0" applyNumberFormat="1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164" fontId="0" fillId="4" borderId="3" xfId="0" applyNumberFormat="1" applyFill="1" applyBorder="1"/>
    <xf numFmtId="164" fontId="0" fillId="4" borderId="5" xfId="0" applyNumberFormat="1" applyFill="1" applyBorder="1"/>
    <xf numFmtId="0" fontId="0" fillId="0" borderId="0" xfId="0" applyAlignment="1">
      <alignment horizontal="center"/>
    </xf>
    <xf numFmtId="16" fontId="0" fillId="0" borderId="0" xfId="0" quotePrefix="1" applyNumberFormat="1"/>
    <xf numFmtId="165" fontId="0" fillId="0" borderId="0" xfId="0" applyNumberFormat="1"/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43" fontId="0" fillId="0" borderId="0" xfId="1" applyNumberFormat="1" applyFont="1"/>
    <xf numFmtId="1" fontId="0" fillId="0" borderId="0" xfId="0" applyNumberFormat="1" applyAlignment="1">
      <alignment horizontal="right"/>
    </xf>
    <xf numFmtId="171" fontId="0" fillId="0" borderId="0" xfId="0" applyNumberFormat="1"/>
    <xf numFmtId="1" fontId="0" fillId="4" borderId="3" xfId="0" applyNumberFormat="1" applyFill="1" applyBorder="1"/>
    <xf numFmtId="43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1" xfId="0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 2 9" xfId="5" xr:uid="{F9F6A7D0-7CBD-41E4-AFCF-0E1E77F4E008}"/>
    <cellStyle name="Normal 2 3" xfId="3" xr:uid="{A5D77860-1686-4A49-8CA3-3ACECEAA8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dc.gov/nchs/covid19/pulse/mental-health.htm" TargetMode="External"/><Relationship Id="rId1" Type="http://schemas.openxmlformats.org/officeDocument/2006/relationships/hyperlink" Target="https://www.cdc.gov/nchs/data/nhis/earlyrelease/ERmentalhealth-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2452-924B-4073-8F4B-9959F904ED67}">
  <dimension ref="A2:P67"/>
  <sheetViews>
    <sheetView tabSelected="1" workbookViewId="0">
      <selection activeCell="C3" sqref="C3"/>
    </sheetView>
  </sheetViews>
  <sheetFormatPr defaultRowHeight="14.35" x14ac:dyDescent="0.5"/>
  <cols>
    <col min="1" max="1" width="11.52734375" customWidth="1"/>
    <col min="2" max="2" width="13.64453125" customWidth="1"/>
    <col min="3" max="3" width="17.52734375" customWidth="1"/>
    <col min="4" max="4" width="9.87890625" bestFit="1" customWidth="1"/>
    <col min="5" max="5" width="11.52734375" customWidth="1"/>
    <col min="6" max="6" width="18.17578125" customWidth="1"/>
    <col min="7" max="7" width="17.9375" customWidth="1"/>
    <col min="8" max="8" width="16.703125" customWidth="1"/>
    <col min="9" max="9" width="13.05859375" customWidth="1"/>
    <col min="10" max="10" width="2.5859375" customWidth="1"/>
    <col min="11" max="11" width="9.234375" bestFit="1" customWidth="1"/>
    <col min="12" max="12" width="12.05859375" customWidth="1"/>
    <col min="13" max="13" width="11.05859375" customWidth="1"/>
    <col min="16" max="16" width="8.9375" style="15"/>
  </cols>
  <sheetData>
    <row r="2" spans="1:13" x14ac:dyDescent="0.5">
      <c r="B2" s="51" t="s">
        <v>0</v>
      </c>
      <c r="C2" s="51"/>
      <c r="H2" s="8"/>
      <c r="I2" s="8"/>
      <c r="J2" s="8"/>
      <c r="K2" s="8"/>
      <c r="L2" s="8"/>
      <c r="M2" s="8"/>
    </row>
    <row r="3" spans="1:13" x14ac:dyDescent="0.5">
      <c r="A3" s="1" t="s">
        <v>1</v>
      </c>
      <c r="B3" s="2">
        <v>43831</v>
      </c>
      <c r="C3" s="2">
        <v>44013</v>
      </c>
      <c r="H3" s="8"/>
      <c r="J3" s="9"/>
      <c r="K3" s="13"/>
      <c r="L3" s="8"/>
      <c r="M3" s="8"/>
    </row>
    <row r="4" spans="1:13" x14ac:dyDescent="0.5">
      <c r="A4">
        <v>2019</v>
      </c>
      <c r="B4" s="5">
        <v>19075.099999999999</v>
      </c>
      <c r="C4" s="3">
        <v>19073.099999999999</v>
      </c>
      <c r="F4" s="9" t="s">
        <v>15</v>
      </c>
      <c r="G4" s="13" t="s">
        <v>37</v>
      </c>
      <c r="J4" s="12"/>
      <c r="K4" s="14"/>
      <c r="M4" s="8"/>
    </row>
    <row r="5" spans="1:13" x14ac:dyDescent="0.5">
      <c r="A5">
        <v>2020</v>
      </c>
      <c r="B5" s="5">
        <v>19494.5</v>
      </c>
      <c r="C5" s="4">
        <v>17968</v>
      </c>
      <c r="D5" s="6">
        <f>C5-B5</f>
        <v>-1526.5</v>
      </c>
      <c r="E5" s="6"/>
      <c r="F5" s="9" t="s">
        <v>3</v>
      </c>
      <c r="G5" s="8"/>
      <c r="J5" s="9"/>
      <c r="K5" s="11"/>
      <c r="M5" s="8"/>
    </row>
    <row r="6" spans="1:13" x14ac:dyDescent="0.5">
      <c r="A6">
        <v>2021</v>
      </c>
      <c r="B6" s="5">
        <v>19874</v>
      </c>
      <c r="C6" s="4">
        <v>18679.3</v>
      </c>
      <c r="D6" s="6">
        <f t="shared" ref="D6:D15" si="0">C6-B6</f>
        <v>-1194.7000000000007</v>
      </c>
      <c r="F6" s="9" t="s">
        <v>4</v>
      </c>
      <c r="G6" s="8"/>
      <c r="J6" s="9"/>
      <c r="K6" s="11"/>
      <c r="M6" s="8"/>
    </row>
    <row r="7" spans="1:13" x14ac:dyDescent="0.5">
      <c r="A7">
        <v>2022</v>
      </c>
      <c r="B7" s="5">
        <v>20203</v>
      </c>
      <c r="C7" s="4">
        <v>19222</v>
      </c>
      <c r="D7" s="6">
        <f t="shared" si="0"/>
        <v>-981</v>
      </c>
      <c r="E7" s="14"/>
      <c r="F7" s="9" t="s">
        <v>5</v>
      </c>
      <c r="G7" s="8"/>
      <c r="J7" s="9"/>
      <c r="K7" s="11"/>
      <c r="M7" s="8"/>
    </row>
    <row r="8" spans="1:13" x14ac:dyDescent="0.5">
      <c r="A8">
        <v>2023</v>
      </c>
      <c r="B8" s="5">
        <v>20522.8</v>
      </c>
      <c r="C8" s="4">
        <v>19631.400000000001</v>
      </c>
      <c r="D8" s="6">
        <f t="shared" si="0"/>
        <v>-891.39999999999782</v>
      </c>
      <c r="F8" s="9" t="s">
        <v>6</v>
      </c>
      <c r="G8" s="7">
        <v>42103</v>
      </c>
      <c r="J8" s="9"/>
      <c r="K8" s="11"/>
      <c r="M8" s="8"/>
    </row>
    <row r="9" spans="1:13" x14ac:dyDescent="0.5">
      <c r="A9">
        <v>2024</v>
      </c>
      <c r="B9" s="5">
        <v>20842.099999999999</v>
      </c>
      <c r="C9" s="4">
        <v>20074.099999999999</v>
      </c>
      <c r="D9" s="6">
        <f t="shared" si="0"/>
        <v>-768</v>
      </c>
      <c r="F9" s="9" t="s">
        <v>7</v>
      </c>
      <c r="G9" s="7">
        <v>45209</v>
      </c>
      <c r="J9" s="9"/>
      <c r="K9" s="10"/>
      <c r="M9" s="8"/>
    </row>
    <row r="10" spans="1:13" x14ac:dyDescent="0.5">
      <c r="A10">
        <v>2025</v>
      </c>
      <c r="B10" s="5">
        <v>21159</v>
      </c>
      <c r="C10" s="4">
        <v>20540.599999999999</v>
      </c>
      <c r="D10" s="6">
        <f t="shared" si="0"/>
        <v>-618.40000000000146</v>
      </c>
      <c r="F10" s="9" t="s">
        <v>8</v>
      </c>
      <c r="G10" s="7">
        <v>41027</v>
      </c>
      <c r="J10" s="9"/>
      <c r="K10" s="10"/>
      <c r="M10" s="8"/>
    </row>
    <row r="11" spans="1:13" x14ac:dyDescent="0.5">
      <c r="A11">
        <v>2026</v>
      </c>
      <c r="B11" s="5">
        <v>21494.9</v>
      </c>
      <c r="C11" s="4">
        <v>21023.9</v>
      </c>
      <c r="D11" s="6">
        <f t="shared" si="0"/>
        <v>-471</v>
      </c>
      <c r="F11" s="9" t="s">
        <v>9</v>
      </c>
      <c r="G11" s="7">
        <v>40700</v>
      </c>
      <c r="J11" s="9"/>
      <c r="K11" s="10"/>
      <c r="M11" s="8"/>
    </row>
    <row r="12" spans="1:13" x14ac:dyDescent="0.5">
      <c r="A12">
        <v>2027</v>
      </c>
      <c r="B12" s="5">
        <v>21870.799999999999</v>
      </c>
      <c r="C12" s="4">
        <v>21512.1</v>
      </c>
      <c r="D12" s="6">
        <f t="shared" si="0"/>
        <v>-358.70000000000073</v>
      </c>
      <c r="F12" s="9" t="s">
        <v>10</v>
      </c>
      <c r="G12" s="7">
        <v>41755</v>
      </c>
      <c r="J12" s="9"/>
      <c r="K12" s="10"/>
      <c r="M12" s="8"/>
    </row>
    <row r="13" spans="1:13" x14ac:dyDescent="0.5">
      <c r="A13">
        <v>2028</v>
      </c>
      <c r="B13" s="5">
        <v>22250.3</v>
      </c>
      <c r="C13" s="4">
        <v>21973.1</v>
      </c>
      <c r="D13" s="6">
        <f t="shared" si="0"/>
        <v>-277.20000000000073</v>
      </c>
      <c r="F13" s="9" t="s">
        <v>11</v>
      </c>
      <c r="G13" s="7">
        <v>31487</v>
      </c>
      <c r="J13" s="9"/>
      <c r="K13" s="10"/>
      <c r="M13" s="8"/>
    </row>
    <row r="14" spans="1:13" x14ac:dyDescent="0.5">
      <c r="A14">
        <v>2029</v>
      </c>
      <c r="B14" s="5">
        <v>22638.2</v>
      </c>
      <c r="C14" s="4">
        <v>22381.9</v>
      </c>
      <c r="D14" s="6">
        <f t="shared" si="0"/>
        <v>-256.29999999999927</v>
      </c>
      <c r="F14" s="9" t="s">
        <v>12</v>
      </c>
      <c r="G14" s="7">
        <v>15407</v>
      </c>
      <c r="J14" s="9"/>
      <c r="K14" s="10"/>
      <c r="M14" s="8"/>
    </row>
    <row r="15" spans="1:13" x14ac:dyDescent="0.5">
      <c r="A15">
        <v>2030</v>
      </c>
      <c r="B15" s="5">
        <v>23029.9</v>
      </c>
      <c r="C15" s="4">
        <v>22782.6</v>
      </c>
      <c r="D15" s="6">
        <f t="shared" si="0"/>
        <v>-247.30000000000291</v>
      </c>
      <c r="F15" s="9" t="s">
        <v>13</v>
      </c>
      <c r="G15" s="7">
        <v>5893</v>
      </c>
      <c r="J15" s="9"/>
      <c r="K15" s="10"/>
      <c r="M15" s="8"/>
    </row>
    <row r="16" spans="1:13" x14ac:dyDescent="0.5">
      <c r="F16" s="8"/>
      <c r="G16" s="8"/>
      <c r="J16" s="8"/>
      <c r="K16" s="8"/>
      <c r="M16" s="8"/>
    </row>
    <row r="17" spans="1:13" x14ac:dyDescent="0.5">
      <c r="A17" t="s">
        <v>2</v>
      </c>
      <c r="B17" s="6">
        <f>SUM(B4:B16)</f>
        <v>252454.59999999998</v>
      </c>
      <c r="C17" s="6">
        <f>SUM(C4:C16)</f>
        <v>244862.1</v>
      </c>
      <c r="D17" s="6">
        <f>C17-B17</f>
        <v>-7592.4999999999709</v>
      </c>
      <c r="F17" s="9" t="s">
        <v>14</v>
      </c>
      <c r="G17" s="26">
        <f>SUM(G8:G16)</f>
        <v>263581</v>
      </c>
      <c r="J17" s="8"/>
      <c r="K17" s="10"/>
      <c r="M17" s="8"/>
    </row>
    <row r="19" spans="1:13" x14ac:dyDescent="0.5">
      <c r="H19" s="9"/>
      <c r="J19" s="16"/>
    </row>
    <row r="20" spans="1:13" x14ac:dyDescent="0.5">
      <c r="A20" t="s">
        <v>71</v>
      </c>
      <c r="C20" s="7">
        <v>250000</v>
      </c>
    </row>
    <row r="21" spans="1:13" x14ac:dyDescent="0.5">
      <c r="A21" s="43" t="s">
        <v>60</v>
      </c>
    </row>
    <row r="22" spans="1:13" x14ac:dyDescent="0.5">
      <c r="A22" t="s">
        <v>72</v>
      </c>
      <c r="C22" s="7">
        <f>(250/180)*(200000+250000)</f>
        <v>625000</v>
      </c>
    </row>
    <row r="23" spans="1:13" x14ac:dyDescent="0.5">
      <c r="A23" t="s">
        <v>17</v>
      </c>
      <c r="C23" s="17">
        <f>C22*7000000/1000000000</f>
        <v>4375</v>
      </c>
      <c r="D23" s="14"/>
    </row>
    <row r="24" spans="1:13" x14ac:dyDescent="0.5">
      <c r="C24" s="18"/>
    </row>
    <row r="25" spans="1:13" x14ac:dyDescent="0.5">
      <c r="A25" s="43" t="s">
        <v>61</v>
      </c>
    </row>
    <row r="26" spans="1:13" x14ac:dyDescent="0.5">
      <c r="A26" t="s">
        <v>54</v>
      </c>
      <c r="F26" s="51" t="s">
        <v>25</v>
      </c>
      <c r="G26" s="51"/>
      <c r="H26" s="51"/>
      <c r="I26" s="51"/>
      <c r="J26" s="51"/>
      <c r="K26" s="51"/>
    </row>
    <row r="27" spans="1:13" x14ac:dyDescent="0.5">
      <c r="A27" t="s">
        <v>64</v>
      </c>
      <c r="C27" s="6">
        <f>H61*(C22/C20)</f>
        <v>3180967.2179424698</v>
      </c>
      <c r="F27" s="20" t="s">
        <v>18</v>
      </c>
      <c r="G27" s="20" t="s">
        <v>19</v>
      </c>
      <c r="H27" s="20" t="s">
        <v>20</v>
      </c>
      <c r="I27" s="20" t="s">
        <v>26</v>
      </c>
      <c r="K27" s="20" t="s">
        <v>21</v>
      </c>
    </row>
    <row r="28" spans="1:13" x14ac:dyDescent="0.5">
      <c r="A28" t="s">
        <v>65</v>
      </c>
      <c r="B28" s="7"/>
      <c r="C28" s="39">
        <f>H63</f>
        <v>27.419108869153355</v>
      </c>
      <c r="F28" s="21" t="s">
        <v>22</v>
      </c>
      <c r="G28" s="23">
        <v>8.2000000000000003E-2</v>
      </c>
      <c r="H28" s="23">
        <v>0.36099999999999999</v>
      </c>
      <c r="I28" s="22">
        <f>H28-G28</f>
        <v>0.27899999999999997</v>
      </c>
      <c r="K28" s="21">
        <v>0.15</v>
      </c>
    </row>
    <row r="29" spans="1:13" x14ac:dyDescent="0.5">
      <c r="A29" t="s">
        <v>66</v>
      </c>
      <c r="B29" s="7"/>
      <c r="C29">
        <v>0.33</v>
      </c>
      <c r="F29" s="21" t="s">
        <v>23</v>
      </c>
      <c r="G29" s="23">
        <v>6.6000000000000003E-2</v>
      </c>
      <c r="H29" s="23">
        <v>0.29599999999999999</v>
      </c>
      <c r="I29" s="22">
        <f>H29-G29</f>
        <v>0.22999999999999998</v>
      </c>
      <c r="K29" s="21">
        <v>0.4</v>
      </c>
    </row>
    <row r="30" spans="1:13" x14ac:dyDescent="0.5">
      <c r="A30" t="s">
        <v>67</v>
      </c>
      <c r="B30" s="7"/>
      <c r="C30" s="44">
        <v>0.35</v>
      </c>
      <c r="F30" s="21" t="s">
        <v>24</v>
      </c>
      <c r="G30" s="23">
        <v>0.112</v>
      </c>
      <c r="H30" s="23">
        <v>0.40899999999999997</v>
      </c>
    </row>
    <row r="31" spans="1:13" x14ac:dyDescent="0.5">
      <c r="A31" t="s">
        <v>68</v>
      </c>
      <c r="B31" s="7"/>
      <c r="C31" s="45">
        <f>C27*C29*C30*7000000/1000000000</f>
        <v>2571.8119957064869</v>
      </c>
      <c r="F31" s="21"/>
    </row>
    <row r="32" spans="1:13" x14ac:dyDescent="0.5">
      <c r="F32" s="21" t="s">
        <v>27</v>
      </c>
      <c r="G32" s="22">
        <f>G30-G29</f>
        <v>4.5999999999999999E-2</v>
      </c>
      <c r="H32" s="22">
        <f>H30-H29</f>
        <v>0.11299999999999999</v>
      </c>
      <c r="I32" s="22">
        <f>H32-G32</f>
        <v>6.699999999999999E-2</v>
      </c>
    </row>
    <row r="33" spans="1:16" x14ac:dyDescent="0.5">
      <c r="P33"/>
    </row>
    <row r="34" spans="1:16" x14ac:dyDescent="0.5">
      <c r="A34" s="43" t="s">
        <v>62</v>
      </c>
    </row>
    <row r="35" spans="1:16" x14ac:dyDescent="0.5">
      <c r="A35" t="s">
        <v>34</v>
      </c>
      <c r="C35" s="17">
        <f>G17</f>
        <v>263581</v>
      </c>
      <c r="D35" s="48">
        <f>C35*0.3</f>
        <v>79074.3</v>
      </c>
      <c r="E35" s="48"/>
      <c r="F35" s="21" t="s">
        <v>28</v>
      </c>
      <c r="K35">
        <f>I29*K29+I32*K28</f>
        <v>0.10205</v>
      </c>
    </row>
    <row r="36" spans="1:16" x14ac:dyDescent="0.5">
      <c r="A36" t="s">
        <v>35</v>
      </c>
      <c r="P36"/>
    </row>
    <row r="37" spans="1:16" x14ac:dyDescent="0.5">
      <c r="A37" t="s">
        <v>16</v>
      </c>
      <c r="C37" s="6">
        <f>D35*0.2*100000/1000000</f>
        <v>1581.4860000000001</v>
      </c>
      <c r="E37" s="6"/>
      <c r="F37" s="24" t="s">
        <v>29</v>
      </c>
      <c r="P37"/>
    </row>
    <row r="38" spans="1:16" x14ac:dyDescent="0.5">
      <c r="C38" s="6"/>
      <c r="F38" s="24" t="s">
        <v>30</v>
      </c>
      <c r="P38"/>
    </row>
    <row r="41" spans="1:16" x14ac:dyDescent="0.5">
      <c r="A41" s="52" t="s">
        <v>33</v>
      </c>
      <c r="B41" s="53"/>
      <c r="C41" s="53"/>
      <c r="D41" s="54"/>
      <c r="H41" s="19"/>
    </row>
    <row r="42" spans="1:16" x14ac:dyDescent="0.5">
      <c r="A42" s="32" t="s">
        <v>31</v>
      </c>
      <c r="B42" s="27"/>
      <c r="C42" s="28">
        <f>-D17</f>
        <v>7592.4999999999709</v>
      </c>
      <c r="D42" s="34">
        <f>C42/C46</f>
        <v>0.47097544439314504</v>
      </c>
      <c r="H42" s="21"/>
    </row>
    <row r="43" spans="1:16" x14ac:dyDescent="0.5">
      <c r="A43" s="32" t="s">
        <v>32</v>
      </c>
      <c r="B43" s="27"/>
      <c r="C43" s="29">
        <f>C23</f>
        <v>4375</v>
      </c>
      <c r="D43" s="35"/>
    </row>
    <row r="44" spans="1:16" x14ac:dyDescent="0.5">
      <c r="A44" s="32" t="s">
        <v>36</v>
      </c>
      <c r="B44" s="27"/>
      <c r="C44" s="28">
        <f>C31</f>
        <v>2571.8119957064869</v>
      </c>
      <c r="D44" s="47"/>
    </row>
    <row r="45" spans="1:16" x14ac:dyDescent="0.5">
      <c r="A45" s="32" t="s">
        <v>25</v>
      </c>
      <c r="B45" s="27"/>
      <c r="C45" s="28">
        <f>C37</f>
        <v>1581.4860000000001</v>
      </c>
      <c r="D45" s="34"/>
    </row>
    <row r="46" spans="1:16" x14ac:dyDescent="0.5">
      <c r="A46" s="32" t="s">
        <v>14</v>
      </c>
      <c r="B46" s="27"/>
      <c r="C46" s="28">
        <f>SUM(C42:C45)</f>
        <v>16120.797995706458</v>
      </c>
      <c r="D46" s="35"/>
    </row>
    <row r="47" spans="1:16" x14ac:dyDescent="0.5">
      <c r="A47" s="32"/>
      <c r="B47" s="27"/>
      <c r="C47" s="28"/>
      <c r="D47" s="35"/>
    </row>
    <row r="48" spans="1:16" x14ac:dyDescent="0.5">
      <c r="A48" s="32" t="s">
        <v>73</v>
      </c>
      <c r="B48" s="27"/>
      <c r="C48" s="28"/>
      <c r="D48" s="35"/>
    </row>
    <row r="49" spans="1:13" x14ac:dyDescent="0.5">
      <c r="A49" s="33" t="s">
        <v>38</v>
      </c>
      <c r="B49" s="30">
        <v>328.2</v>
      </c>
      <c r="C49" s="31">
        <f>4*C46/(B49/1000)</f>
        <v>196475.29549916464</v>
      </c>
      <c r="D49" s="36"/>
      <c r="H49" s="49"/>
    </row>
    <row r="50" spans="1:13" x14ac:dyDescent="0.5">
      <c r="A50" s="8"/>
      <c r="B50" s="8"/>
      <c r="C50" s="25"/>
      <c r="H50" s="50"/>
    </row>
    <row r="51" spans="1:13" ht="43" x14ac:dyDescent="0.5">
      <c r="A51" t="s">
        <v>15</v>
      </c>
      <c r="B51" s="37" t="s">
        <v>59</v>
      </c>
      <c r="C51" s="37" t="s">
        <v>48</v>
      </c>
      <c r="D51" s="37" t="s">
        <v>50</v>
      </c>
      <c r="E51" s="37" t="s">
        <v>49</v>
      </c>
      <c r="F51" s="37" t="s">
        <v>52</v>
      </c>
      <c r="G51" s="42" t="s">
        <v>54</v>
      </c>
      <c r="H51" s="42" t="s">
        <v>58</v>
      </c>
      <c r="I51" s="37" t="s">
        <v>56</v>
      </c>
      <c r="J51" s="37" t="s">
        <v>69</v>
      </c>
      <c r="K51" s="37" t="s">
        <v>57</v>
      </c>
      <c r="M51" s="42" t="s">
        <v>70</v>
      </c>
    </row>
    <row r="52" spans="1:13" x14ac:dyDescent="0.5">
      <c r="A52" t="s">
        <v>42</v>
      </c>
      <c r="B52" s="40">
        <v>0.5</v>
      </c>
      <c r="C52" s="37">
        <v>1E-4</v>
      </c>
      <c r="D52" s="41">
        <v>4.0000000000000003E-5</v>
      </c>
      <c r="E52" s="37">
        <v>2.0000000000000002E-5</v>
      </c>
      <c r="F52" s="17">
        <f>33+29</f>
        <v>62</v>
      </c>
      <c r="G52" s="17">
        <f t="shared" ref="G52:G60" si="1">F52*((C52+D52)/E52)</f>
        <v>434</v>
      </c>
      <c r="H52" s="17">
        <f t="shared" ref="H52:H60" si="2">G52-F52</f>
        <v>372</v>
      </c>
      <c r="I52" s="6">
        <f t="shared" ref="I52:I60" si="3">I$61*(M52/M$61)</f>
        <v>100702.92195006694</v>
      </c>
      <c r="J52" s="6">
        <f t="shared" ref="J52:J61" si="4">I52-H52-F52</f>
        <v>100268.92195006694</v>
      </c>
      <c r="K52" s="39">
        <v>74.099999999999994</v>
      </c>
      <c r="M52" s="17">
        <v>20458</v>
      </c>
    </row>
    <row r="53" spans="1:13" x14ac:dyDescent="0.5">
      <c r="A53" s="38" t="s">
        <v>43</v>
      </c>
      <c r="B53" s="40">
        <v>0.55000000000000004</v>
      </c>
      <c r="C53" s="37">
        <v>1E-4</v>
      </c>
      <c r="D53" s="41">
        <v>1.1E-4</v>
      </c>
      <c r="E53" s="37">
        <v>6.0000000000000002E-5</v>
      </c>
      <c r="F53" s="17">
        <v>315</v>
      </c>
      <c r="G53" s="17">
        <f t="shared" si="1"/>
        <v>1102.5</v>
      </c>
      <c r="H53" s="17">
        <f t="shared" si="2"/>
        <v>787.5</v>
      </c>
      <c r="I53" s="6">
        <f t="shared" si="3"/>
        <v>242404.70189808618</v>
      </c>
      <c r="J53" s="6">
        <f t="shared" si="4"/>
        <v>241302.20189808618</v>
      </c>
      <c r="K53" s="39">
        <v>64.2</v>
      </c>
      <c r="M53" s="17">
        <v>49245</v>
      </c>
    </row>
    <row r="54" spans="1:13" x14ac:dyDescent="0.5">
      <c r="A54" t="s">
        <v>44</v>
      </c>
      <c r="B54" s="40">
        <v>0.6</v>
      </c>
      <c r="C54" s="37">
        <v>1.0999999999999999E-2</v>
      </c>
      <c r="D54" s="41">
        <v>4.0000000000000002E-4</v>
      </c>
      <c r="E54" s="37">
        <v>2.9999999999999997E-4</v>
      </c>
      <c r="F54" s="17">
        <v>1360</v>
      </c>
      <c r="G54" s="17">
        <f t="shared" si="1"/>
        <v>51680</v>
      </c>
      <c r="H54" s="17">
        <f t="shared" si="2"/>
        <v>50320</v>
      </c>
      <c r="I54" s="6">
        <f t="shared" si="3"/>
        <v>898189.5329605419</v>
      </c>
      <c r="J54" s="6">
        <f t="shared" si="4"/>
        <v>846509.5329605419</v>
      </c>
      <c r="K54" s="39">
        <v>54.7</v>
      </c>
      <c r="M54" s="17">
        <v>182469</v>
      </c>
    </row>
    <row r="55" spans="1:13" x14ac:dyDescent="0.5">
      <c r="A55" t="s">
        <v>39</v>
      </c>
      <c r="B55" s="40">
        <v>0.65</v>
      </c>
      <c r="C55" s="37">
        <v>3.4000000000000002E-2</v>
      </c>
      <c r="D55" s="41">
        <v>1.23E-3</v>
      </c>
      <c r="E55" s="37">
        <v>8.0000000000000004E-4</v>
      </c>
      <c r="F55" s="17">
        <v>3542</v>
      </c>
      <c r="G55" s="17">
        <f t="shared" si="1"/>
        <v>155980.82500000001</v>
      </c>
      <c r="H55" s="17">
        <f t="shared" si="2"/>
        <v>152438.82500000001</v>
      </c>
      <c r="I55" s="6">
        <f t="shared" si="3"/>
        <v>1057577.5773804837</v>
      </c>
      <c r="J55" s="6">
        <f t="shared" si="4"/>
        <v>901596.75238048378</v>
      </c>
      <c r="K55" s="39">
        <v>45.3</v>
      </c>
      <c r="M55" s="17">
        <v>214849</v>
      </c>
    </row>
    <row r="56" spans="1:13" x14ac:dyDescent="0.5">
      <c r="A56" t="s">
        <v>40</v>
      </c>
      <c r="B56" s="40">
        <v>0.7</v>
      </c>
      <c r="C56" s="37">
        <v>4.2999999999999997E-2</v>
      </c>
      <c r="D56" s="41">
        <v>2.14E-3</v>
      </c>
      <c r="E56" s="37">
        <v>1.5E-3</v>
      </c>
      <c r="F56" s="17">
        <v>9324</v>
      </c>
      <c r="G56" s="17">
        <f t="shared" si="1"/>
        <v>280590.24</v>
      </c>
      <c r="H56" s="17">
        <f t="shared" si="2"/>
        <v>271266.24</v>
      </c>
      <c r="I56" s="6">
        <f t="shared" si="3"/>
        <v>1078694.770418209</v>
      </c>
      <c r="J56" s="6">
        <f t="shared" si="4"/>
        <v>798104.53041820903</v>
      </c>
      <c r="K56" s="39">
        <v>36.1</v>
      </c>
      <c r="M56" s="17">
        <v>219139</v>
      </c>
    </row>
    <row r="57" spans="1:13" x14ac:dyDescent="0.5">
      <c r="A57" t="s">
        <v>41</v>
      </c>
      <c r="B57" s="40">
        <v>0.75</v>
      </c>
      <c r="C57" s="37">
        <v>8.2000000000000003E-2</v>
      </c>
      <c r="D57" s="41">
        <v>8.0000000000000002E-3</v>
      </c>
      <c r="E57" s="37">
        <v>6.0000000000000001E-3</v>
      </c>
      <c r="F57" s="17">
        <v>22254</v>
      </c>
      <c r="G57" s="17">
        <f t="shared" si="1"/>
        <v>333810</v>
      </c>
      <c r="H57" s="17">
        <f t="shared" si="2"/>
        <v>311556</v>
      </c>
      <c r="I57" s="6">
        <f t="shared" si="3"/>
        <v>1160579.2706938647</v>
      </c>
      <c r="J57" s="6">
        <f t="shared" si="4"/>
        <v>826769.27069386467</v>
      </c>
      <c r="K57" s="39">
        <v>27.4</v>
      </c>
      <c r="M57" s="17">
        <v>235774</v>
      </c>
    </row>
    <row r="58" spans="1:13" x14ac:dyDescent="0.5">
      <c r="A58" t="s">
        <v>45</v>
      </c>
      <c r="B58" s="40">
        <v>0.8</v>
      </c>
      <c r="C58" s="37">
        <v>0.11799999999999999</v>
      </c>
      <c r="D58" s="41">
        <v>2.75E-2</v>
      </c>
      <c r="E58" s="37">
        <v>2.1999999999999999E-2</v>
      </c>
      <c r="F58" s="17">
        <v>37684</v>
      </c>
      <c r="G58" s="17">
        <f t="shared" si="1"/>
        <v>249228.27272727271</v>
      </c>
      <c r="H58" s="17">
        <f t="shared" si="2"/>
        <v>211544.27272727271</v>
      </c>
      <c r="I58" s="6">
        <f t="shared" si="3"/>
        <v>881148.10585177608</v>
      </c>
      <c r="J58" s="6">
        <f t="shared" si="4"/>
        <v>631919.83312450338</v>
      </c>
      <c r="K58" s="39">
        <v>19.399999999999999</v>
      </c>
      <c r="M58" s="17">
        <v>179007</v>
      </c>
    </row>
    <row r="59" spans="1:13" x14ac:dyDescent="0.5">
      <c r="A59" t="s">
        <v>46</v>
      </c>
      <c r="B59" s="40">
        <v>0.85</v>
      </c>
      <c r="C59" s="37">
        <v>0.16600000000000001</v>
      </c>
      <c r="D59" s="41">
        <v>0.06</v>
      </c>
      <c r="E59" s="37">
        <v>5.0999999999999997E-2</v>
      </c>
      <c r="F59" s="17">
        <v>46487</v>
      </c>
      <c r="G59" s="17">
        <f t="shared" si="1"/>
        <v>206001.21568627452</v>
      </c>
      <c r="H59" s="17">
        <f t="shared" si="2"/>
        <v>159514.21568627452</v>
      </c>
      <c r="I59" s="6">
        <f t="shared" si="3"/>
        <v>518094.82554934232</v>
      </c>
      <c r="J59" s="6">
        <f t="shared" si="4"/>
        <v>312093.6098630678</v>
      </c>
      <c r="K59" s="39">
        <v>12.3</v>
      </c>
      <c r="M59" s="17">
        <v>105252</v>
      </c>
    </row>
    <row r="60" spans="1:13" x14ac:dyDescent="0.5">
      <c r="A60" t="s">
        <v>47</v>
      </c>
      <c r="B60" s="40">
        <v>0.9</v>
      </c>
      <c r="C60" s="37">
        <v>0.184</v>
      </c>
      <c r="D60" s="41">
        <v>0.10333000000000001</v>
      </c>
      <c r="E60" s="37">
        <v>9.2999999999999999E-2</v>
      </c>
      <c r="F60" s="17">
        <v>54838</v>
      </c>
      <c r="G60" s="17">
        <f t="shared" si="1"/>
        <v>169425.83376344084</v>
      </c>
      <c r="H60" s="17">
        <f t="shared" si="2"/>
        <v>114587.83376344084</v>
      </c>
      <c r="I60" s="6">
        <f t="shared" si="3"/>
        <v>562608.29329762934</v>
      </c>
      <c r="J60" s="6">
        <f t="shared" si="4"/>
        <v>393182.4595341885</v>
      </c>
      <c r="K60" s="39">
        <v>6.6</v>
      </c>
      <c r="M60" s="17">
        <v>114295</v>
      </c>
    </row>
    <row r="61" spans="1:13" x14ac:dyDescent="0.5">
      <c r="F61" s="17">
        <f>SUM(F52:F60)</f>
        <v>175866</v>
      </c>
      <c r="G61" s="17">
        <f>SUM(G52:G60)</f>
        <v>1448252.8871769879</v>
      </c>
      <c r="H61" s="17">
        <f>SUM(H52:H60)</f>
        <v>1272386.8871769879</v>
      </c>
      <c r="I61" s="17">
        <v>6500000</v>
      </c>
      <c r="J61" s="6">
        <f t="shared" si="4"/>
        <v>5051747.1128230123</v>
      </c>
      <c r="M61" s="17">
        <v>1320488</v>
      </c>
    </row>
    <row r="62" spans="1:13" x14ac:dyDescent="0.5">
      <c r="F62" s="6"/>
      <c r="H62" s="17"/>
    </row>
    <row r="63" spans="1:13" x14ac:dyDescent="0.5">
      <c r="A63" t="s">
        <v>51</v>
      </c>
      <c r="G63" t="s">
        <v>63</v>
      </c>
      <c r="H63" s="39" cm="1">
        <f t="array" ref="H63">SUMPRODUCT(H52:H60*K52:K60)/H61</f>
        <v>27.419108869153355</v>
      </c>
    </row>
    <row r="64" spans="1:13" x14ac:dyDescent="0.5">
      <c r="A64" t="s">
        <v>53</v>
      </c>
    </row>
    <row r="65" spans="1:8" x14ac:dyDescent="0.5">
      <c r="A65" t="s">
        <v>55</v>
      </c>
    </row>
    <row r="67" spans="1:8" x14ac:dyDescent="0.5">
      <c r="H67" s="46"/>
    </row>
  </sheetData>
  <mergeCells count="3">
    <mergeCell ref="B2:C2"/>
    <mergeCell ref="A41:D41"/>
    <mergeCell ref="F26:K26"/>
  </mergeCells>
  <hyperlinks>
    <hyperlink ref="F37" r:id="rId1" display="https://www.cdc.gov/nchs/data/nhis/earlyrelease/ERmentalhealth-508.pdf" xr:uid="{10C359B7-9B71-48AD-8E6A-6FA919F9AA99}"/>
    <hyperlink ref="F38" r:id="rId2" display="https://www.cdc.gov/nchs/covid19/pulse/mental-health.htm" xr:uid="{9B02F40C-6E92-4323-93A5-9CB5B3F34D9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Cutler</dc:creator>
  <cp:lastModifiedBy>David Cutler</cp:lastModifiedBy>
  <dcterms:created xsi:type="dcterms:W3CDTF">2020-09-06T00:17:28Z</dcterms:created>
  <dcterms:modified xsi:type="dcterms:W3CDTF">2021-02-11T20:12:21Z</dcterms:modified>
</cp:coreProperties>
</file>