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ds" sheetId="1" state="visible" r:id="rId2"/>
    <sheet name="CF planners" sheetId="2" state="visible" r:id="rId3"/>
    <sheet name="LT summary" sheetId="3" state="visible" r:id="rId4"/>
    <sheet name="LT records" sheetId="4" state="visible" r:id="rId5"/>
    <sheet name="Bdg set base table" sheetId="5" state="visible" r:id="rId6"/>
    <sheet name="copy-cards-220602" sheetId="6" state="visible" r:id="rId7"/>
  </sheets>
  <externalReferences>
    <externalReference r:id="rId8"/>
  </externalReferences>
  <definedNames>
    <definedName function="false" hidden="true" localSheetId="3" name="_xlnm._FilterDatabase" vbProcedure="false">'LT records'!$B$2:$N$1002</definedName>
    <definedName function="false" hidden="false" name="card_list" vbProcedure="false">#REF!</definedName>
    <definedName function="false" hidden="false" name="ccr_list" vbProcedure="false">#REF!</definedName>
    <definedName function="false" hidden="false" name="date_arr" vbProcedure="false">'Bdg set base table'!$D$6:$AK$7</definedName>
    <definedName function="false" hidden="false" name="exchg_rate" vbProcedure="false">'lt records' #REF!</definedName>
    <definedName function="false" hidden="false" name="LTsummary" vbProcedure="false">'LT summary'!$B$2:$K$22</definedName>
    <definedName function="false" hidden="false" name="val_arr" vbProcedure="false">'Bdg set base table'!$C$8:$AK$14</definedName>
    <definedName function="false" hidden="false" localSheetId="1" name="_xlnm.Print_Area" vbProcedure="false">'cf planners' #REF!</definedName>
    <definedName function="false" hidden="false" localSheetId="2" name="card_list" vbProcedure="false">#REF!</definedName>
    <definedName function="false" hidden="false" localSheetId="2" name="ccr_list" vbProcedure="false">#REF!</definedName>
    <definedName function="false" hidden="false" localSheetId="2" name="exchg_rate" vbProcedure="false">'lt summary' 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67" authorId="0">
      <text>
        <r>
          <rPr>
            <sz val="10"/>
            <rFont val="Arial"/>
            <family val="0"/>
            <charset val="1"/>
          </rPr>
          <t xml:space="preserve">TotoMisha:
</t>
        </r>
        <r>
          <rPr>
            <sz val="9"/>
            <color rgb="FF000000"/>
            <rFont val="Tahoma"/>
            <family val="2"/>
            <charset val="1"/>
          </rPr>
          <t xml:space="preserve">pe 15 ale lunii urm</t>
        </r>
      </text>
    </comment>
    <comment ref="B70" authorId="0">
      <text>
        <r>
          <rPr>
            <sz val="10"/>
            <rFont val="Arial"/>
            <family val="0"/>
            <charset val="1"/>
          </rPr>
          <t xml:space="preserve">TotoMisha:
</t>
        </r>
        <r>
          <rPr>
            <sz val="9"/>
            <color rgb="FF000000"/>
            <rFont val="Tahoma"/>
            <family val="2"/>
            <charset val="1"/>
          </rPr>
          <t xml:space="preserve">pe 15 ale lunii urm</t>
        </r>
      </text>
    </comment>
    <comment ref="D39" authorId="0">
      <text>
        <r>
          <rPr>
            <sz val="10"/>
            <rFont val="Arial"/>
            <family val="0"/>
            <charset val="1"/>
          </rPr>
          <t xml:space="preserve">08-Apr-23:
paid ENEL cu cardul energie (179.99 lei)</t>
        </r>
      </text>
    </comment>
    <comment ref="I67" authorId="0">
      <text>
        <r>
          <rPr>
            <sz val="10"/>
            <rFont val="Arial"/>
            <family val="0"/>
            <charset val="1"/>
          </rPr>
          <t xml:space="preserve">TotoMisha:
</t>
        </r>
        <r>
          <rPr>
            <sz val="9"/>
            <color rgb="FF000000"/>
            <rFont val="Tahoma"/>
            <family val="2"/>
            <charset val="1"/>
          </rPr>
          <t xml:space="preserve">pe 15 ale lunii urm</t>
        </r>
      </text>
    </comment>
    <comment ref="I70" authorId="0">
      <text>
        <r>
          <rPr>
            <sz val="10"/>
            <rFont val="Arial"/>
            <family val="0"/>
            <charset val="1"/>
          </rPr>
          <t xml:space="preserve">TotoMisha:
</t>
        </r>
        <r>
          <rPr>
            <sz val="9"/>
            <color rgb="FF000000"/>
            <rFont val="Tahoma"/>
            <family val="2"/>
            <charset val="1"/>
          </rPr>
          <t xml:space="preserve">pe 15 ale lunii urm</t>
        </r>
      </text>
    </comment>
    <comment ref="K39" authorId="0">
      <text>
        <r>
          <rPr>
            <sz val="10"/>
            <rFont val="Arial"/>
            <family val="0"/>
            <charset val="1"/>
          </rPr>
          <t xml:space="preserve">09-May-23:
paid ENEL cu cardul energie (124.01 lei) --- ramine REST 28.81 platit personal</t>
        </r>
      </text>
    </comment>
    <comment ref="K61" authorId="0">
      <text>
        <r>
          <rPr>
            <sz val="10"/>
            <rFont val="Arial"/>
            <family val="0"/>
            <charset val="1"/>
          </rPr>
          <t xml:space="preserve">Am creditat REN</t>
        </r>
      </text>
    </comment>
    <comment ref="P67" authorId="0">
      <text>
        <r>
          <rPr>
            <sz val="10"/>
            <rFont val="Arial"/>
            <family val="0"/>
            <charset val="1"/>
          </rPr>
          <t xml:space="preserve">TotoMisha:
</t>
        </r>
        <r>
          <rPr>
            <sz val="9"/>
            <color rgb="FF000000"/>
            <rFont val="Tahoma"/>
            <family val="2"/>
            <charset val="1"/>
          </rPr>
          <t xml:space="preserve">pe 15 ale lunii urm</t>
        </r>
      </text>
    </comment>
    <comment ref="P70" authorId="0">
      <text>
        <r>
          <rPr>
            <sz val="10"/>
            <rFont val="Arial"/>
            <family val="0"/>
            <charset val="1"/>
          </rPr>
          <t xml:space="preserve">TotoMisha:
</t>
        </r>
        <r>
          <rPr>
            <sz val="9"/>
            <color rgb="FF000000"/>
            <rFont val="Tahoma"/>
            <family val="2"/>
            <charset val="1"/>
          </rPr>
          <t xml:space="preserve">pe 15 ale lunii urm</t>
        </r>
      </text>
    </comment>
    <comment ref="W66" authorId="0">
      <text>
        <r>
          <rPr>
            <sz val="10"/>
            <rFont val="Arial"/>
            <family val="0"/>
            <charset val="1"/>
          </rPr>
          <t xml:space="preserve">After init period paste as number to FIX IT</t>
        </r>
      </text>
    </comment>
    <comment ref="W67" authorId="0">
      <text>
        <r>
          <rPr>
            <sz val="10"/>
            <rFont val="Arial"/>
            <family val="0"/>
            <charset val="1"/>
          </rPr>
          <t xml:space="preserve">TotoMisha:
</t>
        </r>
        <r>
          <rPr>
            <sz val="9"/>
            <color rgb="FF000000"/>
            <rFont val="Tahoma"/>
            <family val="2"/>
            <charset val="1"/>
          </rPr>
          <t xml:space="preserve">pe 15 ale lunii urm</t>
        </r>
      </text>
    </comment>
    <comment ref="W70" authorId="0">
      <text>
        <r>
          <rPr>
            <sz val="10"/>
            <rFont val="Arial"/>
            <family val="0"/>
            <charset val="1"/>
          </rPr>
          <t xml:space="preserve">TotoMisha:
</t>
        </r>
        <r>
          <rPr>
            <sz val="9"/>
            <color rgb="FF000000"/>
            <rFont val="Tahoma"/>
            <family val="2"/>
            <charset val="1"/>
          </rPr>
          <t xml:space="preserve">pe 15 ale lunii urm</t>
        </r>
      </text>
    </comment>
    <comment ref="Y47" authorId="0">
      <text>
        <r>
          <rPr>
            <sz val="10"/>
            <rFont val="Arial"/>
            <family val="0"/>
            <charset val="1"/>
          </rPr>
          <t xml:space="preserve">14.99 – trimitere card prin posta</t>
        </r>
      </text>
    </comment>
    <comment ref="AD66" authorId="0">
      <text>
        <r>
          <rPr>
            <sz val="10"/>
            <rFont val="Arial"/>
            <family val="0"/>
            <charset val="1"/>
          </rPr>
          <t xml:space="preserve">After init period paste as number to FIX IT</t>
        </r>
      </text>
    </comment>
    <comment ref="AD67" authorId="0">
      <text>
        <r>
          <rPr>
            <sz val="10"/>
            <rFont val="Arial"/>
            <family val="0"/>
            <charset val="1"/>
          </rPr>
          <t xml:space="preserve">TotoMisha:
</t>
        </r>
        <r>
          <rPr>
            <sz val="9"/>
            <color rgb="FF000000"/>
            <rFont val="Tahoma"/>
            <family val="2"/>
            <charset val="1"/>
          </rPr>
          <t xml:space="preserve">pe 15 ale lunii urm</t>
        </r>
      </text>
    </comment>
    <comment ref="AD70" authorId="0">
      <text>
        <r>
          <rPr>
            <sz val="10"/>
            <rFont val="Arial"/>
            <family val="0"/>
            <charset val="1"/>
          </rPr>
          <t xml:space="preserve">TotoMisha:
</t>
        </r>
        <r>
          <rPr>
            <sz val="9"/>
            <color rgb="FF000000"/>
            <rFont val="Tahoma"/>
            <family val="2"/>
            <charset val="1"/>
          </rPr>
          <t xml:space="preserve">pe 15 ale lunii urm</t>
        </r>
      </text>
    </comment>
    <comment ref="AK66" authorId="0">
      <text>
        <r>
          <rPr>
            <sz val="10"/>
            <rFont val="Arial"/>
            <family val="0"/>
            <charset val="1"/>
          </rPr>
          <t xml:space="preserve">After init period paste as number to FIX IT</t>
        </r>
      </text>
    </comment>
    <comment ref="AK67" authorId="0">
      <text>
        <r>
          <rPr>
            <sz val="10"/>
            <rFont val="Arial"/>
            <family val="0"/>
            <charset val="1"/>
          </rPr>
          <t xml:space="preserve">TotoMisha:
</t>
        </r>
        <r>
          <rPr>
            <sz val="9"/>
            <color rgb="FF000000"/>
            <rFont val="Tahoma"/>
            <family val="2"/>
            <charset val="1"/>
          </rPr>
          <t xml:space="preserve">pe 15 ale lunii urm</t>
        </r>
      </text>
    </comment>
    <comment ref="AK70" authorId="0">
      <text>
        <r>
          <rPr>
            <sz val="10"/>
            <rFont val="Arial"/>
            <family val="0"/>
            <charset val="1"/>
          </rPr>
          <t xml:space="preserve">TotoMisha:
</t>
        </r>
        <r>
          <rPr>
            <sz val="9"/>
            <color rgb="FF000000"/>
            <rFont val="Tahoma"/>
            <family val="2"/>
            <charset val="1"/>
          </rPr>
          <t xml:space="preserve">pe 15 ale lunii urm</t>
        </r>
      </text>
    </comment>
    <comment ref="AR66" authorId="0">
      <text>
        <r>
          <rPr>
            <sz val="10"/>
            <rFont val="Arial"/>
            <family val="0"/>
            <charset val="1"/>
          </rPr>
          <t xml:space="preserve">After init period paste as number to FIX IT</t>
        </r>
      </text>
    </comment>
    <comment ref="AR67" authorId="0">
      <text>
        <r>
          <rPr>
            <sz val="10"/>
            <rFont val="Arial"/>
            <family val="0"/>
            <charset val="1"/>
          </rPr>
          <t xml:space="preserve">TotoMisha:
</t>
        </r>
        <r>
          <rPr>
            <sz val="9"/>
            <color rgb="FF000000"/>
            <rFont val="Tahoma"/>
            <family val="2"/>
            <charset val="1"/>
          </rPr>
          <t xml:space="preserve">pe 15 ale lunii urm</t>
        </r>
      </text>
    </comment>
    <comment ref="AR70" authorId="0">
      <text>
        <r>
          <rPr>
            <sz val="10"/>
            <rFont val="Arial"/>
            <family val="0"/>
            <charset val="1"/>
          </rPr>
          <t xml:space="preserve">TotoMisha:
</t>
        </r>
        <r>
          <rPr>
            <sz val="9"/>
            <color rgb="FF000000"/>
            <rFont val="Tahoma"/>
            <family val="2"/>
            <charset val="1"/>
          </rPr>
          <t xml:space="preserve">pe 15 ale lunii urm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J2" authorId="0">
      <text>
        <r>
          <rPr>
            <sz val="10"/>
            <rFont val="Arial"/>
            <family val="0"/>
            <charset val="1"/>
          </rPr>
          <t xml:space="preserve">Petre IORDANESCU:
</t>
        </r>
        <r>
          <rPr>
            <sz val="8"/>
            <color rgb="FF000000"/>
            <rFont val="Tahoma"/>
            <family val="2"/>
            <charset val="1"/>
          </rPr>
          <t xml:space="preserve">red = expired
amber = today
green = future</t>
        </r>
      </text>
    </comment>
    <comment ref="W14" authorId="0">
      <text>
        <r>
          <rPr>
            <sz val="10"/>
            <rFont val="Arial"/>
            <family val="0"/>
            <charset val="1"/>
          </rPr>
          <t xml:space="preserve">Am efectuat o creditare firma de 700lei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898" authorId="0">
      <text>
        <r>
          <rPr>
            <sz val="10"/>
            <rFont val="Arial"/>
            <family val="0"/>
            <charset val="1"/>
          </rPr>
          <t xml:space="preserve">3 lei facuti pe 2 because sld negativ because cms adm</t>
        </r>
      </text>
    </comment>
  </commentList>
</comments>
</file>

<file path=xl/sharedStrings.xml><?xml version="1.0" encoding="utf-8"?>
<sst xmlns="http://schemas.openxmlformats.org/spreadsheetml/2006/main" count="11607" uniqueCount="1039">
  <si>
    <t xml:space="preserve">Operatiuni carduri si conturi bancare</t>
  </si>
  <si>
    <t xml:space="preserve">Short name</t>
  </si>
  <si>
    <t xml:space="preserve">Card #</t>
  </si>
  <si>
    <t xml:space="preserve">ccy</t>
  </si>
  <si>
    <t xml:space="preserve">Balance</t>
  </si>
  <si>
    <t xml:space="preserve">***</t>
  </si>
  <si>
    <t xml:space="preserve">Comments</t>
  </si>
  <si>
    <t xml:space="preserve">Date</t>
  </si>
  <si>
    <t xml:space="preserve">Ammount</t>
  </si>
  <si>
    <t xml:space="preserve">diff</t>
  </si>
  <si>
    <t xml:space="preserve">RAIFF-ECO</t>
  </si>
  <si>
    <t xml:space="preserve">RO44 RZBR 0000 0100 1913 1350</t>
  </si>
  <si>
    <t xml:space="preserve">RON</t>
  </si>
  <si>
    <t xml:space="preserve">sold initial</t>
  </si>
  <si>
    <t xml:space="preserve">CSH</t>
  </si>
  <si>
    <t xml:space="preserve">RAIFF-crd</t>
  </si>
  <si>
    <t xml:space="preserve">RO67 RZBR 0000 0600 1907 0648 / pin card si token: 415958 / app usr: petre1111 / app iB: 391414 (activ @ 230218)</t>
  </si>
  <si>
    <r>
      <rPr>
        <sz val="10"/>
        <color rgb="FF000000"/>
        <rFont val="Tahoma"/>
        <family val="2"/>
        <charset val="1"/>
      </rPr>
      <t xml:space="preserve">CARD-UP </t>
    </r>
    <r>
      <rPr>
        <sz val="8"/>
        <color rgb="FF000000"/>
        <rFont val="Tahoma"/>
        <family val="2"/>
        <charset val="1"/>
      </rPr>
      <t xml:space="preserve">(pin: 0232)</t>
    </r>
  </si>
  <si>
    <t xml:space="preserve">AZT-PENSII-PP2</t>
  </si>
  <si>
    <t xml:space="preserve">User: 0744684867 | petre.iordanescu@gmil.com / PIN: 3914</t>
  </si>
  <si>
    <t xml:space="preserve">iepw: 3914 / ieus: 924075 / zoro72</t>
  </si>
  <si>
    <t xml:space="preserve">BT-PFA</t>
  </si>
  <si>
    <r>
      <rPr>
        <sz val="10"/>
        <color rgb="FF000000"/>
        <rFont val="Tahoma"/>
        <family val="2"/>
        <charset val="1"/>
      </rPr>
      <t xml:space="preserve">tichet energie </t>
    </r>
    <r>
      <rPr>
        <sz val="8"/>
        <color rgb="FF000000"/>
        <rFont val="Tahoma"/>
        <family val="2"/>
        <charset val="1"/>
      </rPr>
      <t xml:space="preserve">(AB099 8825 8491)</t>
    </r>
  </si>
  <si>
    <t xml:space="preserve">BTRL-crd</t>
  </si>
  <si>
    <t xml:space="preserve">RO04 BTRL RONC RT00 W666 4602 / usr: ? psw: Radical$din_3 / pin card: 3914/ id: W66646IP</t>
  </si>
  <si>
    <t xml:space="preserve">ptr PP3 plata recurenta RZB</t>
  </si>
  <si>
    <t xml:space="preserve">GAR-crd</t>
  </si>
  <si>
    <t xml:space="preserve">RO15 UGBI 0000 0820 0563 7RON / card #: 5213 5044 2672 3949 / pin card: 4159 / usr: 923169 psw: petre1111 / pass_bank: rotaru</t>
  </si>
  <si>
    <t xml:space="preserve">4159 card Petre / iepw: 3914 / ieus: 923169 / zoro72</t>
  </si>
  <si>
    <t xml:space="preserve">RO62 BRDE 450S V297 0216 4500</t>
  </si>
  <si>
    <t xml:space="preserve">cont</t>
  </si>
  <si>
    <t xml:space="preserve">savings eco short term / RO53 UGBI 0000 0820 1738 1RON</t>
  </si>
  <si>
    <t xml:space="preserve">1671119/PETRE IORDANESCU</t>
  </si>
  <si>
    <t xml:space="preserve">txt line #1</t>
  </si>
  <si>
    <t xml:space="preserve">Plata pensie facultativa</t>
  </si>
  <si>
    <t xml:space="preserve">Resav 2025.36 – DONE kept just to remember</t>
  </si>
  <si>
    <t xml:space="preserve">DE AICI PREIEI SOLDUL INITIAL SI STERGI TOTUL – drop all prev kept just to remebre few days</t>
  </si>
  <si>
    <t xml:space="preserve">mega image / pepco / profi</t>
  </si>
  <si>
    <t xml:space="preserve">alim card</t>
  </si>
  <si>
    <r>
      <rPr>
        <sz val="9"/>
        <rFont val="Tahoma"/>
        <family val="2"/>
        <charset val="1"/>
      </rPr>
      <t xml:space="preserve">marire dep-06 / </t>
    </r>
    <r>
      <rPr>
        <sz val="10"/>
        <rFont val="Tahoma"/>
        <family val="2"/>
        <charset val="1"/>
      </rPr>
      <t xml:space="preserve"> upd CSH</t>
    </r>
  </si>
  <si>
    <t xml:space="preserve">acc dob</t>
  </si>
  <si>
    <t xml:space="preserve">ATM cash</t>
  </si>
  <si>
    <t xml:space="preserve">in AS SOC S1/PMB</t>
  </si>
  <si>
    <t xml:space="preserve">af incas assoc cms 5 lei</t>
  </si>
  <si>
    <t xml:space="preserve">creditare REN</t>
  </si>
  <si>
    <t xml:space="preserve">aport numerar PFA</t>
  </si>
  <si>
    <t xml:space="preserve">SALUS VET (dr Misha)</t>
  </si>
  <si>
    <t xml:space="preserve">ENEL</t>
  </si>
  <si>
    <t xml:space="preserve">VODAFONE</t>
  </si>
  <si>
    <t xml:space="preserve">in AS SOC S1/PMB. Multumesc</t>
  </si>
  <si>
    <t xml:space="preserve">alim GAR</t>
  </si>
  <si>
    <t xml:space="preserve">resav 440</t>
  </si>
  <si>
    <t xml:space="preserve">SCOMET (intretinere)</t>
  </si>
  <si>
    <t xml:space="preserve">ORNG</t>
  </si>
  <si>
    <t xml:space="preserve">PP3 alim card</t>
  </si>
  <si>
    <t xml:space="preserve">auto PP3; upd ltrecs &amp; bdg / already upd myinvest</t>
  </si>
  <si>
    <t xml:space="preserve">sav</t>
  </si>
  <si>
    <t xml:space="preserve">resav </t>
  </si>
  <si>
    <t xml:space="preserve">cms admin 5 lei</t>
  </si>
  <si>
    <t xml:space="preserve">unsav med</t>
  </si>
  <si>
    <t xml:space="preserve">emag</t>
  </si>
  <si>
    <t xml:space="preserve">cms iB 5 lei</t>
  </si>
  <si>
    <t xml:space="preserve">cms admin 10 lei</t>
  </si>
  <si>
    <t xml:space="preserve">minc Misha unsav</t>
  </si>
  <si>
    <t xml:space="preserve">cms </t>
  </si>
  <si>
    <t xml:space="preserve">Un-sav 2005 (BT 2000 + ptr cms 5)</t>
  </si>
  <si>
    <t xml:space="preserve">Un-sav</t>
  </si>
  <si>
    <t xml:space="preserve">cms trsf rzb</t>
  </si>
  <si>
    <t xml:space="preserve">alim rzb 2k</t>
  </si>
  <si>
    <t xml:space="preserve">alim pfa 15</t>
  </si>
  <si>
    <t xml:space="preserve">in AS SOC S1</t>
  </si>
  <si>
    <t xml:space="preserve">Sav &amp; upd LT records ref CSH</t>
  </si>
  <si>
    <t xml:space="preserve">in AS SOC PMB</t>
  </si>
  <si>
    <t xml:space="preserve">Cms abonament BT24 (5)</t>
  </si>
  <si>
    <t xml:space="preserve">cms admin si iB (15 = 10 + 5)</t>
  </si>
  <si>
    <t xml:space="preserve">Un-sav 2k ptr RZB; upd LT recs</t>
  </si>
  <si>
    <t xml:space="preserve">Un-sav 2k ptr RZB</t>
  </si>
  <si>
    <t xml:space="preserve">alim card RZB</t>
  </si>
  <si>
    <t xml:space="preserve">cms trasf</t>
  </si>
  <si>
    <t xml:space="preserve">alima card RZB</t>
  </si>
  <si>
    <t xml:space="preserve">cms admin </t>
  </si>
  <si>
    <t xml:space="preserve">majorare dep-08</t>
  </si>
  <si>
    <t xml:space="preserve">cms adm</t>
  </si>
  <si>
    <t xml:space="preserve">cms partial iB</t>
  </si>
  <si>
    <t xml:space="preserve">cms rest iB</t>
  </si>
  <si>
    <t xml:space="preserve">in AS SOC S1 – ajutor social</t>
  </si>
  <si>
    <t xml:space="preserve">restituire credit REN</t>
  </si>
  <si>
    <t xml:space="preserve">save</t>
  </si>
  <si>
    <t xml:space="preserve">alim pp3</t>
  </si>
  <si>
    <t xml:space="preserve">auto GAR ECO</t>
  </si>
  <si>
    <t xml:space="preserve">cms 5 lei</t>
  </si>
  <si>
    <t xml:space="preserve">Realim RZB, so unsav, up LT Records &amp; bdg</t>
  </si>
  <si>
    <t xml:space="preserve">cms trsf 3 lei</t>
  </si>
  <si>
    <t xml:space="preserve">cms admin 10 lei (RON &amp; EUR)</t>
  </si>
  <si>
    <t xml:space="preserve">temporary stop from 8-Oct-22, inclusive</t>
  </si>
  <si>
    <t xml:space="preserve">resav; upd BDG &amp; LT Rec</t>
  </si>
  <si>
    <t xml:space="preserve">in AS SOC S1 sal insotitor</t>
  </si>
  <si>
    <t xml:space="preserve">in AS SOC S1 indemnizatie sociala</t>
  </si>
  <si>
    <t xml:space="preserve">auto sav 50 lei, upd LT records &amp; zona galbena BDG</t>
  </si>
  <si>
    <t xml:space="preserve">2x cms admin</t>
  </si>
  <si>
    <t xml:space="preserve">MELODIA SHOES pantofi Cristina</t>
  </si>
  <si>
    <t xml:space="preserve">Oct 22 cms admin</t>
  </si>
  <si>
    <t xml:space="preserve">CATENA farmacie</t>
  </si>
  <si>
    <t xml:space="preserve">PHARNA PLANT farmacie</t>
  </si>
  <si>
    <t xml:space="preserve">resav</t>
  </si>
  <si>
    <t xml:space="preserve">resav, mark in LT-rec &amp; CF-plan</t>
  </si>
  <si>
    <t xml:space="preserve">POS.err – anulata pe 221203</t>
  </si>
  <si>
    <t xml:space="preserve">auto PP3</t>
  </si>
  <si>
    <t xml:space="preserve">sav 35 lei</t>
  </si>
  <si>
    <t xml:space="preserve">din trz anulata pe 221120</t>
  </si>
  <si>
    <t xml:space="preserve">sav 2 GAR</t>
  </si>
  <si>
    <t xml:space="preserve">sav from RZB</t>
  </si>
  <si>
    <t xml:space="preserve">emag medicamente</t>
  </si>
  <si>
    <t xml:space="preserve">Dublura ORNG – greseala banca- In jan’23 ORNG a pus-o pe minus</t>
  </si>
  <si>
    <t xml:space="preserve">auto PP3, update MyInvestment &amp; BDG yellow area</t>
  </si>
  <si>
    <t xml:space="preserve">OMV Petrom</t>
  </si>
  <si>
    <t xml:space="preserve">2 X cms adm</t>
  </si>
  <si>
    <t xml:space="preserve">resav, oper LTRec</t>
  </si>
  <si>
    <t xml:space="preserve">Jan 23 - cms adm 15</t>
  </si>
  <si>
    <t xml:space="preserve">auto pp3</t>
  </si>
  <si>
    <t xml:space="preserve">sav to GAR</t>
  </si>
  <si>
    <t xml:space="preserve">in from RZB</t>
  </si>
  <si>
    <t xml:space="preserve">resav all</t>
  </si>
  <si>
    <t xml:space="preserve">feb 23 - cms adm 15</t>
  </si>
  <si>
    <t xml:space="preserve">Un-sav / operezi in LT REC, BDG &amp; PHONE</t>
  </si>
  <si>
    <r>
      <rPr>
        <sz val="9"/>
        <color rgb="FFC9211E"/>
        <rFont val="Tahoma"/>
        <family val="2"/>
        <charset val="1"/>
      </rPr>
      <t xml:space="preserve">(facut RZB alim 2k pe 6)</t>
    </r>
    <r>
      <rPr>
        <sz val="9"/>
        <rFont val="Tahoma"/>
        <family val="2"/>
        <charset val="1"/>
      </rPr>
      <t xml:space="preserve"> mega image / pepco / profi</t>
    </r>
  </si>
  <si>
    <t xml:space="preserve">2Dia diverse chelt</t>
  </si>
  <si>
    <t xml:space="preserve">impozit casa</t>
  </si>
  <si>
    <t xml:space="preserve">CRAFT NOORD (str Maltopol)</t>
  </si>
  <si>
    <t xml:space="preserve">auto pp3 ; update LT recs</t>
  </si>
  <si>
    <t xml:space="preserve">cms</t>
  </si>
  <si>
    <t xml:space="preserve">Frugo.com – set roti scaun</t>
  </si>
  <si>
    <t xml:space="preserve">retur rest PFA</t>
  </si>
  <si>
    <t xml:space="preserve">in sav RZB</t>
  </si>
  <si>
    <t xml:space="preserve">irish cafea</t>
  </si>
  <si>
    <t xml:space="preserve">auto PP3; upd ltrecs &amp; bdg &amp; upd myinvest</t>
  </si>
  <si>
    <t xml:space="preserve">irish + profi prajiturele</t>
  </si>
  <si>
    <t xml:space="preserve">ac dob</t>
  </si>
  <si>
    <t xml:space="preserve">pp3 auto, upd bdg &amp; LT recs</t>
  </si>
  <si>
    <t xml:space="preserve">auto sav 50 lei</t>
  </si>
  <si>
    <t xml:space="preserve">resav, upd Ltrecs, BDG</t>
  </si>
  <si>
    <t xml:space="preserve">Back resav – canceled un-saving made @morning</t>
  </si>
  <si>
    <t xml:space="preserve">irish cafea…</t>
  </si>
  <si>
    <t xml:space="preserve">pui 90 sa ai de coff… unsv, upd LT Recs &amp; Bdg</t>
  </si>
  <si>
    <t xml:space="preserve">alim rzb (planul 2k cu partiale)</t>
  </si>
  <si>
    <t xml:space="preserve">back resav</t>
  </si>
  <si>
    <t xml:space="preserve">alim rzb</t>
  </si>
  <si>
    <t xml:space="preserve">pre-alim card pentru op miine pina in 6:30 dimineata</t>
  </si>
  <si>
    <t xml:space="preserve">alim card – transa 2 mincarica</t>
  </si>
  <si>
    <t xml:space="preserve">ajustare maruntis</t>
  </si>
  <si>
    <t xml:space="preserve">Multumsc. Mi-ai trimis-o pe Dia !</t>
  </si>
  <si>
    <t xml:space="preserve">taxa postala trimitere card acasa</t>
  </si>
  <si>
    <t xml:space="preserve">cafenea Maltopol (CRAFT NORD COMPANY)</t>
  </si>
  <si>
    <t xml:space="preserve">Multumesc. Mi-ai dat pacea de acasa si ai platit utilitatile !</t>
  </si>
  <si>
    <t xml:space="preserve">alim card, upd ltrecs</t>
  </si>
  <si>
    <t xml:space="preserve">Un-sav / inLT recs dor 10 lei si faci si rec de miine</t>
  </si>
  <si>
    <t xml:space="preserve">cms admin si iB (10 = 5 + 5)</t>
  </si>
  <si>
    <t xml:space="preserve">abon RATB</t>
  </si>
  <si>
    <t xml:space="preserve">pensie</t>
  </si>
  <si>
    <t xml:space="preserve">ck in…</t>
  </si>
  <si>
    <t xml:space="preserve">payment Dia 500 lei</t>
  </si>
  <si>
    <t xml:space="preserve">MULTUMESC</t>
  </si>
  <si>
    <t xml:space="preserve">Diana Toparceanu</t>
  </si>
  <si>
    <t xml:space="preserve">RO07 RZBR 0000 0600 1170 9137</t>
  </si>
  <si>
    <t xml:space="preserve">resav (tii de tigari nxt day)</t>
  </si>
  <si>
    <t xml:space="preserve">ai card UP !!!</t>
  </si>
  <si>
    <t xml:space="preserve">ai card UP !!!, poate ceva latter…</t>
  </si>
  <si>
    <r>
      <rPr>
        <sz val="9"/>
        <rFont val="Tahoma"/>
        <family val="2"/>
        <charset val="1"/>
      </rPr>
      <t xml:space="preserve">Need for REN </t>
    </r>
    <r>
      <rPr>
        <b val="true"/>
        <sz val="9"/>
        <rFont val="Tahoma"/>
        <family val="2"/>
        <charset val="1"/>
      </rPr>
      <t xml:space="preserve">AUG</t>
    </r>
    <r>
      <rPr>
        <sz val="9"/>
        <rFont val="Tahoma"/>
        <family val="2"/>
        <charset val="1"/>
      </rPr>
      <t xml:space="preserve"> 2023</t>
    </r>
  </si>
  <si>
    <t xml:space="preserve">conta</t>
  </si>
  <si>
    <t xml:space="preserve">cms trsf conta</t>
  </si>
  <si>
    <t xml:space="preserve">ORNG </t>
  </si>
  <si>
    <t xml:space="preserve">cms adm (29.00) + mentenanta (3.50)</t>
  </si>
  <si>
    <t xml:space="preserve">house things</t>
  </si>
  <si>
    <t xml:space="preserve">total</t>
  </si>
  <si>
    <t xml:space="preserve">Existent ~</t>
  </si>
  <si>
    <t xml:space="preserve">NECESAR</t>
  </si>
  <si>
    <t xml:space="preserve">1. Current expenses</t>
  </si>
  <si>
    <t xml:space="preserve">de ieri</t>
  </si>
  <si>
    <t xml:space="preserve">?</t>
  </si>
  <si>
    <t xml:space="preserve">Day</t>
  </si>
  <si>
    <t xml:space="preserve">Bdg</t>
  </si>
  <si>
    <t xml:space="preserve">Act Exp</t>
  </si>
  <si>
    <t xml:space="preserve">PCA</t>
  </si>
  <si>
    <t xml:space="preserve">Var (B-A)</t>
  </si>
  <si>
    <t xml:space="preserve">Wip… irish cafea / 2Dia 500. trecii in locatia aferenta</t>
  </si>
  <si>
    <t xml:space="preserve">ai card UP</t>
  </si>
  <si>
    <t xml:space="preserve">pensie &amp; copy2 nxt month</t>
  </si>
  <si>
    <t xml:space="preserve">** RZB 2Klei </t>
  </si>
  <si>
    <t xml:space="preserve">ck AsSoc S1</t>
  </si>
  <si>
    <t xml:space="preserve">Dia din RZB</t>
  </si>
  <si>
    <t xml:space="preserve">pay utilit BT / pay REN ORNG</t>
  </si>
  <si>
    <r>
      <rPr>
        <b val="true"/>
        <sz val="8"/>
        <rFont val="Tahoma"/>
        <family val="2"/>
        <charset val="1"/>
      </rPr>
      <t xml:space="preserve">RZB 150 </t>
    </r>
    <r>
      <rPr>
        <sz val="8"/>
        <rFont val="Tahoma"/>
        <family val="2"/>
        <charset val="1"/>
      </rPr>
      <t xml:space="preserve">PP3</t>
    </r>
  </si>
  <si>
    <t xml:space="preserve">auto pp3=150 - treci in zona galbena, upd LT recs si MyInvestments</t>
  </si>
  <si>
    <r>
      <rPr>
        <b val="true"/>
        <sz val="8"/>
        <rFont val="Tahoma"/>
        <family val="2"/>
        <charset val="1"/>
      </rPr>
      <t xml:space="preserve">alim GAR 60</t>
    </r>
    <r>
      <rPr>
        <sz val="8"/>
        <rFont val="Tahoma"/>
        <family val="2"/>
        <charset val="1"/>
      </rPr>
      <t xml:space="preserve"> (50lei sav, 10lei admin) /  index ENEL</t>
    </r>
  </si>
  <si>
    <t xml:space="preserve">se muta 50 lei in ECO - upd zona galbena, LT records, acc dob csh /  index ENEL</t>
  </si>
  <si>
    <t xml:space="preserve">sav din RZB sold</t>
  </si>
  <si>
    <r>
      <rPr>
        <b val="true"/>
        <sz val="8"/>
        <rFont val="Tahoma"/>
        <family val="2"/>
        <charset val="1"/>
      </rPr>
      <t xml:space="preserve">cms</t>
    </r>
    <r>
      <rPr>
        <sz val="8"/>
        <rFont val="Tahoma"/>
        <family val="2"/>
        <charset val="1"/>
      </rPr>
      <t xml:space="preserve"> GAR 10, BT pf 5</t>
    </r>
  </si>
  <si>
    <t xml:space="preserve">extrase luna ant: ren / cms REN 29</t>
  </si>
  <si>
    <t xml:space="preserve">exp dep</t>
  </si>
  <si>
    <t xml:space="preserve">TOTAL</t>
  </si>
  <si>
    <t xml:space="preserve">2. Utility &amp; home expenses</t>
  </si>
  <si>
    <t xml:space="preserve">Utility</t>
  </si>
  <si>
    <t xml:space="preserve">Electrica</t>
  </si>
  <si>
    <t xml:space="preserve">Vodafone (UPC)</t>
  </si>
  <si>
    <t xml:space="preserve">intretinere</t>
  </si>
  <si>
    <t xml:space="preserve">Orange</t>
  </si>
  <si>
    <t xml:space="preserve">misha, medicam, div</t>
  </si>
  <si>
    <t xml:space="preserve">350 mincarica</t>
  </si>
  <si>
    <t xml:space="preserve">50 med</t>
  </si>
  <si>
    <t xml:space="preserve">100 misha</t>
  </si>
  <si>
    <t xml:space="preserve">0 altele</t>
  </si>
  <si>
    <t xml:space="preserve">cms / dob bank</t>
  </si>
  <si>
    <t xml:space="preserve">comis bank</t>
  </si>
  <si>
    <t xml:space="preserve">3. Other</t>
  </si>
  <si>
    <t xml:space="preserve">Note</t>
  </si>
  <si>
    <t xml:space="preserve">savings</t>
  </si>
  <si>
    <t xml:space="preserve">REN ware invest</t>
  </si>
  <si>
    <t xml:space="preserve">reglari si altele</t>
  </si>
  <si>
    <t xml:space="preserve">CSH &amp; DEP</t>
  </si>
  <si>
    <t xml:space="preserve">transport (100) &amp; S12k</t>
  </si>
  <si>
    <t xml:space="preserve">chelt actuale</t>
  </si>
  <si>
    <t xml:space="preserve">PP3 auto 150</t>
  </si>
  <si>
    <t xml:space="preserve">myfuture / mysavings</t>
  </si>
  <si>
    <t xml:space="preserve">pina la pensie no savings …</t>
  </si>
  <si>
    <t xml:space="preserve">Dia-kids-nepotii</t>
  </si>
  <si>
    <t xml:space="preserve">MyF ECO auto 50</t>
  </si>
  <si>
    <t xml:space="preserve">-----</t>
  </si>
  <si>
    <t xml:space="preserve">4. Summary</t>
  </si>
  <si>
    <t xml:space="preserve">ACT sld ini</t>
  </si>
  <si>
    <t xml:space="preserve">TOTAL fara EUR &amp; REN</t>
  </si>
  <si>
    <t xml:space="preserve">SLD ini FIXED val</t>
  </si>
  <si>
    <t xml:space="preserve">ajutor soc</t>
  </si>
  <si>
    <t xml:space="preserve">from PFA</t>
  </si>
  <si>
    <t xml:space="preserve">PF (incl RZB ECO)</t>
  </si>
  <si>
    <t xml:space="preserve">from REN</t>
  </si>
  <si>
    <t xml:space="preserve">ajutor insotitor</t>
  </si>
  <si>
    <t xml:space="preserve">EUR</t>
  </si>
  <si>
    <t xml:space="preserve">n/a</t>
  </si>
  <si>
    <t xml:space="preserve">(1) Total csh in</t>
  </si>
  <si>
    <t xml:space="preserve">ACWP</t>
  </si>
  <si>
    <t xml:space="preserve">ECAC</t>
  </si>
  <si>
    <t xml:space="preserve">TV</t>
  </si>
  <si>
    <t xml:space="preserve">(2) Est need Bdg</t>
  </si>
  <si>
    <t xml:space="preserve">Var (1 – 2)</t>
  </si>
  <si>
    <t xml:space="preserve">ven neintrate</t>
  </si>
  <si>
    <t xml:space="preserve">assoc sect 1</t>
  </si>
  <si>
    <t xml:space="preserve">on hand</t>
  </si>
  <si>
    <t xml:space="preserve">assoc pmb</t>
  </si>
  <si>
    <t xml:space="preserve">control</t>
  </si>
  <si>
    <t xml:space="preserve">aj insotitor</t>
  </si>
  <si>
    <t xml:space="preserve">tot on-hand</t>
  </si>
  <si>
    <t xml:space="preserve">incas totale</t>
  </si>
  <si>
    <t xml:space="preserve">nr zile ramase</t>
  </si>
  <si>
    <t xml:space="preserve">est avlb exp</t>
  </si>
  <si>
    <t xml:space="preserve">obs</t>
  </si>
  <si>
    <t xml:space="preserve">GAR-pf</t>
  </si>
  <si>
    <t xml:space="preserve">REN</t>
  </si>
  <si>
    <t xml:space="preserve">BT-pf</t>
  </si>
  <si>
    <t xml:space="preserve">admin cont</t>
  </si>
  <si>
    <t xml:space="preserve">admin iB si oper iB</t>
  </si>
  <si>
    <t xml:space="preserve">inet orng</t>
  </si>
  <si>
    <t xml:space="preserve">ENEL old</t>
  </si>
  <si>
    <t xml:space="preserve">intro manual</t>
  </si>
  <si>
    <t xml:space="preserve">xxx</t>
  </si>
  <si>
    <t xml:space="preserve">ENEL new</t>
  </si>
  <si>
    <t xml:space="preserve">ENEL diff</t>
  </si>
  <si>
    <t xml:space="preserve">Plati din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</si>
  <si>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</si>
  <si>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</si>
  <si>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</si>
  <si>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</si>
  <si>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</si>
  <si>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</si>
  <si>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</si>
  <si>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</si>
  <si>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</si>
  <si>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</si>
  <si>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</si>
  <si>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</si>
  <si>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Cod Cont</t>
  </si>
  <si>
    <t xml:space="preserve">Mat</t>
  </si>
  <si>
    <t xml:space="preserve">Cod</t>
  </si>
  <si>
    <t xml:space="preserve">Banca</t>
  </si>
  <si>
    <t xml:space="preserve">Valoare (RON)</t>
  </si>
  <si>
    <t xml:space="preserve"> P&amp;L (RON)</t>
  </si>
  <si>
    <t xml:space="preserve">P&amp;L (EUR)</t>
  </si>
  <si>
    <t xml:space="preserve">YYYY-MM</t>
  </si>
  <si>
    <t xml:space="preserve">Data mat</t>
  </si>
  <si>
    <t xml:space="preserve">Multumesc !</t>
  </si>
  <si>
    <t xml:space="preserve">tot / yr</t>
  </si>
  <si>
    <t xml:space="preserve">avg / mo</t>
  </si>
  <si>
    <t xml:space="preserve">DEP-01</t>
  </si>
  <si>
    <t xml:space="preserve">12 mo RON</t>
  </si>
  <si>
    <t xml:space="preserve">GAR</t>
  </si>
  <si>
    <t xml:space="preserve">DEP-02</t>
  </si>
  <si>
    <t xml:space="preserve">depozite RON</t>
  </si>
  <si>
    <t xml:space="preserve">DEP-03</t>
  </si>
  <si>
    <t xml:space="preserve">DEP-04</t>
  </si>
  <si>
    <t xml:space="preserve">DEP-05</t>
  </si>
  <si>
    <t xml:space="preserve">tot RON (+ CSH)</t>
  </si>
  <si>
    <t xml:space="preserve">DEP-06</t>
  </si>
  <si>
    <t xml:space="preserve">DEP-07</t>
  </si>
  <si>
    <t xml:space="preserve">DEP-08</t>
  </si>
  <si>
    <t xml:space="preserve">dob totale  RON</t>
  </si>
  <si>
    <t xml:space="preserve">DEP-09</t>
  </si>
  <si>
    <t xml:space="preserve">DEP-10</t>
  </si>
  <si>
    <t xml:space="preserve">Avg per year</t>
  </si>
  <si>
    <t xml:space="preserve">DEP-11</t>
  </si>
  <si>
    <t xml:space="preserve">DEP-12</t>
  </si>
  <si>
    <t xml:space="preserve">cash RON</t>
  </si>
  <si>
    <t xml:space="preserve">SUM/AVG p/yr</t>
  </si>
  <si>
    <t xml:space="preserve">RENware</t>
  </si>
  <si>
    <t xml:space="preserve">OTH</t>
  </si>
  <si>
    <t xml:space="preserve">X-2P</t>
  </si>
  <si>
    <t xml:space="preserve">pensie pilon 2</t>
  </si>
  <si>
    <t xml:space="preserve">PP2</t>
  </si>
  <si>
    <t xml:space="preserve">AZT</t>
  </si>
  <si>
    <t xml:space="preserve">in MyInvestments</t>
  </si>
  <si>
    <t xml:space="preserve">X-PP 3</t>
  </si>
  <si>
    <t xml:space="preserve">pensie pilon 3</t>
  </si>
  <si>
    <t xml:space="preserve">PP3</t>
  </si>
  <si>
    <t xml:space="preserve">RZB</t>
  </si>
  <si>
    <t xml:space="preserve">X-metale</t>
  </si>
  <si>
    <t xml:space="preserve">metale</t>
  </si>
  <si>
    <t xml:space="preserve">XAU</t>
  </si>
  <si>
    <t xml:space="preserve">---</t>
  </si>
  <si>
    <t xml:space="preserve">Data</t>
  </si>
  <si>
    <t xml:space="preserve">An</t>
  </si>
  <si>
    <t xml:space="preserve">An_Luna</t>
  </si>
  <si>
    <t xml:space="preserve">Cont</t>
  </si>
  <si>
    <t xml:space="preserve">First3CHARSofCont</t>
  </si>
  <si>
    <t xml:space="preserve">Val_RON</t>
  </si>
  <si>
    <t xml:space="preserve">Dob_RON</t>
  </si>
  <si>
    <t xml:space="preserve">Val_EUR</t>
  </si>
  <si>
    <t xml:space="preserve">Dob_EUR</t>
  </si>
  <si>
    <t xml:space="preserve">An_Luna22</t>
  </si>
  <si>
    <t xml:space="preserve">Val_adj_XIRR_RON</t>
  </si>
  <si>
    <t xml:space="preserve">MyF-01</t>
  </si>
  <si>
    <t xml:space="preserve">sold cumulat din iulie 2012</t>
  </si>
  <si>
    <t xml:space="preserve">sold cumulat din august 2012</t>
  </si>
  <si>
    <t xml:space="preserve">MyF-03</t>
  </si>
  <si>
    <t xml:space="preserve">creare depozit</t>
  </si>
  <si>
    <t xml:space="preserve">acumulare dobinda</t>
  </si>
  <si>
    <t xml:space="preserve">transfer in MyF-02</t>
  </si>
  <si>
    <t xml:space="preserve">MyF-02</t>
  </si>
  <si>
    <t xml:space="preserve">transfer din MyF-03</t>
  </si>
  <si>
    <t xml:space="preserve">adumulare dobinda</t>
  </si>
  <si>
    <t xml:space="preserve">majorare depozit</t>
  </si>
  <si>
    <t xml:space="preserve">inchidere depozit</t>
  </si>
  <si>
    <t xml:space="preserve">constituire depocit nou</t>
  </si>
  <si>
    <t xml:space="preserve">MyF-04</t>
  </si>
  <si>
    <t xml:space="preserve">suplimentare depozit</t>
  </si>
  <si>
    <t xml:space="preserve">transfer depozit</t>
  </si>
  <si>
    <t xml:space="preserve">lichidare depozit</t>
  </si>
  <si>
    <t xml:space="preserve">micsorare depozit</t>
  </si>
  <si>
    <t xml:space="preserve">MyF-05</t>
  </si>
  <si>
    <t xml:space="preserve">depozit</t>
  </si>
  <si>
    <t xml:space="preserve">+500 - dobinda</t>
  </si>
  <si>
    <t xml:space="preserve">in ECO</t>
  </si>
  <si>
    <t xml:space="preserve">rezerva in ECO de 4000</t>
  </si>
  <si>
    <t xml:space="preserve">MyF-06</t>
  </si>
  <si>
    <t xml:space="preserve">retragi rezerva 4.000 din ECO si pui in MyF 04</t>
  </si>
  <si>
    <t xml:space="preserve">adaugi inca 5000 si il faci la 3 luni</t>
  </si>
  <si>
    <t xml:space="preserve">MyF-07</t>
  </si>
  <si>
    <t xml:space="preserve">majorare dep</t>
  </si>
  <si>
    <t xml:space="preserve">majorare</t>
  </si>
  <si>
    <t xml:space="preserve">majorare cu prima speciala</t>
  </si>
  <si>
    <t xml:space="preserve">MyF-08</t>
  </si>
  <si>
    <t xml:space="preserve">faci nou de 2000 lei</t>
  </si>
  <si>
    <t xml:space="preserve">lasi asa</t>
  </si>
  <si>
    <t xml:space="preserve">cresti 1000</t>
  </si>
  <si>
    <t xml:space="preserve">lich si bagi in BCR</t>
  </si>
  <si>
    <t xml:space="preserve">BCR oblg</t>
  </si>
  <si>
    <t xml:space="preserve">DEP</t>
  </si>
  <si>
    <t xml:space="preserve">ERSTE BOND Flex RON</t>
  </si>
  <si>
    <t xml:space="preserve">marire</t>
  </si>
  <si>
    <t xml:space="preserve">acc dob / faci 6 luni si schimbi culoarea</t>
  </si>
  <si>
    <t xml:space="preserve">lasi asa - extragi dob</t>
  </si>
  <si>
    <t xml:space="preserve">acc dob - faci la 6 luni</t>
  </si>
  <si>
    <t xml:space="preserve">acc dob - xtragi</t>
  </si>
  <si>
    <t xml:space="preserve">maresti la 10K si faci 3mo</t>
  </si>
  <si>
    <t xml:space="preserve">pui 500</t>
  </si>
  <si>
    <t xml:space="preserve">creezi nou</t>
  </si>
  <si>
    <t xml:space="preserve">capitalizare</t>
  </si>
  <si>
    <t xml:space="preserve">maresti cu 1000</t>
  </si>
  <si>
    <t xml:space="preserve">vezi de pui si capitalizarea</t>
  </si>
  <si>
    <t xml:space="preserve">lasi asa la 6 mon</t>
  </si>
  <si>
    <t xml:space="preserve">incerci 2000</t>
  </si>
  <si>
    <t xml:space="preserve">lasi asa 6 mo</t>
  </si>
  <si>
    <t xml:space="preserve">lasi asa - nu mai tragi dob</t>
  </si>
  <si>
    <t xml:space="preserve">majorezi</t>
  </si>
  <si>
    <t xml:space="preserve">il faci la 1 an</t>
  </si>
  <si>
    <t xml:space="preserve">2.5 K si il muti la un an</t>
  </si>
  <si>
    <t xml:space="preserve">MyF-09</t>
  </si>
  <si>
    <t xml:space="preserve">nou</t>
  </si>
  <si>
    <t xml:space="preserve">maresti</t>
  </si>
  <si>
    <t xml:space="preserve">incepi sa maresti</t>
  </si>
  <si>
    <t xml:space="preserve">cresti 1K</t>
  </si>
  <si>
    <t xml:space="preserve">cresti 1073</t>
  </si>
  <si>
    <t xml:space="preserve">cresti 500</t>
  </si>
  <si>
    <t xml:space="preserve">incerci 70</t>
  </si>
  <si>
    <t xml:space="preserve">cresti 2150</t>
  </si>
  <si>
    <t xml:space="preserve">schimbi la 1yr</t>
  </si>
  <si>
    <t xml:space="preserve">incerci 400</t>
  </si>
  <si>
    <t xml:space="preserve">cresti 2k si muti 1yr</t>
  </si>
  <si>
    <t xml:space="preserve">2k nou</t>
  </si>
  <si>
    <t xml:space="preserve">muti 1 yr</t>
  </si>
  <si>
    <t xml:space="preserve">lich</t>
  </si>
  <si>
    <t xml:space="preserve">muti la 1 yr</t>
  </si>
  <si>
    <t xml:space="preserve">MyF-11</t>
  </si>
  <si>
    <t xml:space="preserve">cresti</t>
  </si>
  <si>
    <t xml:space="preserve">schimb aur</t>
  </si>
  <si>
    <t xml:space="preserve">xchg xau</t>
  </si>
  <si>
    <t xml:space="preserve">cresti 1225</t>
  </si>
  <si>
    <t xml:space="preserve">refaci</t>
  </si>
  <si>
    <t xml:space="preserve">5g au</t>
  </si>
  <si>
    <t xml:space="preserve">cresti 4,4K</t>
  </si>
  <si>
    <t xml:space="preserve">cresti 1,6K</t>
  </si>
  <si>
    <t xml:space="preserve">nou 3K</t>
  </si>
  <si>
    <t xml:space="preserve">3 mo +700</t>
  </si>
  <si>
    <t xml:space="preserve">+ 1k</t>
  </si>
  <si>
    <t xml:space="preserve">4k si 3mo</t>
  </si>
  <si>
    <t xml:space="preserve">acc dob cumulata pe decembrie 2017</t>
  </si>
  <si>
    <t xml:space="preserve">SmartInvest</t>
  </si>
  <si>
    <t xml:space="preserve">smart invest (3x200 ron plus, benefit, confort)</t>
  </si>
  <si>
    <t xml:space="preserve">smart invest (60 ron plus, 2x270 benefit si confort)</t>
  </si>
  <si>
    <t xml:space="preserve">smart invest (120 ron plus, 2x540 benefit si confort)</t>
  </si>
  <si>
    <t xml:space="preserve">lasi in CSH ca sa cumperi bonds din RZB</t>
  </si>
  <si>
    <t xml:space="preserve">420 auto ==&gt; 403.2 net</t>
  </si>
  <si>
    <t xml:space="preserve">1100 auto</t>
  </si>
  <si>
    <t xml:space="preserve">50 auto</t>
  </si>
  <si>
    <t xml:space="preserve">150 firma ==&gt; 144 net (data la care s-a facut OP)</t>
  </si>
  <si>
    <t xml:space="preserve">reduci 5k si faci dep-01</t>
  </si>
  <si>
    <t xml:space="preserve">faci de 5k la 1yr</t>
  </si>
  <si>
    <t xml:space="preserve">1000 = 100 + 450 + 450</t>
  </si>
  <si>
    <t xml:space="preserve">1100 = 110 + 495 + 495</t>
  </si>
  <si>
    <t xml:space="preserve">lich trsf CSH</t>
  </si>
  <si>
    <t xml:space="preserve">din myF 09</t>
  </si>
  <si>
    <t xml:space="preserve">auto 50 lei</t>
  </si>
  <si>
    <t xml:space="preserve">reduci 5.200 si faci dep-02</t>
  </si>
  <si>
    <t xml:space="preserve">1200 = 120 + 540 + 540</t>
  </si>
  <si>
    <t xml:space="preserve">scoti 5k ptr dep</t>
  </si>
  <si>
    <t xml:space="preserve">5k la 1 yr</t>
  </si>
  <si>
    <t xml:space="preserve">150 firma ==&gt; 144 net (data la care s-a facut OP) ck date</t>
  </si>
  <si>
    <t xml:space="preserve">Valute</t>
  </si>
  <si>
    <t xml:space="preserve">vinzare apartament</t>
  </si>
  <si>
    <t xml:space="preserve">un-sav ptr aur</t>
  </si>
  <si>
    <t xml:space="preserve">10g aur</t>
  </si>
  <si>
    <t xml:space="preserve">acc dob si dep de 10k</t>
  </si>
  <si>
    <t xml:space="preserve">dep nou</t>
  </si>
  <si>
    <t xml:space="preserve">50 eur la 4.67</t>
  </si>
  <si>
    <t xml:space="preserve">50 eur la 4.68</t>
  </si>
  <si>
    <t xml:space="preserve">cms transfer + 1 eur gasit prin casa</t>
  </si>
  <si>
    <t xml:space="preserve">EUR-04</t>
  </si>
  <si>
    <t xml:space="preserve">2 x 50 eur la 4.68; 50 eur la 4.69</t>
  </si>
  <si>
    <t xml:space="preserve">unsav ptr 10 eur</t>
  </si>
  <si>
    <t xml:space="preserve">10 eur la 4.7015</t>
  </si>
  <si>
    <t xml:space="preserve">un-sav &amp; re-sav &amp; acc dob</t>
  </si>
  <si>
    <t xml:space="preserve">50 eur la 4.6846, 4.6831, 4.6803</t>
  </si>
  <si>
    <t xml:space="preserve">300 auto ==&gt; 288 net</t>
  </si>
  <si>
    <t xml:space="preserve">1100 auto (110, 2 x 495)</t>
  </si>
  <si>
    <t xml:space="preserve">lichidezi</t>
  </si>
  <si>
    <t xml:space="preserve">re-sav</t>
  </si>
  <si>
    <t xml:space="preserve">auto 50 lei si un-sav</t>
  </si>
  <si>
    <t xml:space="preserve">sav si acc dob</t>
  </si>
  <si>
    <t xml:space="preserve">50eur / 4.67</t>
  </si>
  <si>
    <t xml:space="preserve">un-sav si dep-05</t>
  </si>
  <si>
    <t xml:space="preserve">un-sav si eur-05 + cms admin 0.10 &amp; acc dob</t>
  </si>
  <si>
    <t xml:space="preserve">EUR-05</t>
  </si>
  <si>
    <t xml:space="preserve">un-sav si eur-05</t>
  </si>
  <si>
    <t xml:space="preserve">un-sav si dep-08 &amp; acc dob</t>
  </si>
  <si>
    <t xml:space="preserve">un-sav si dep-08</t>
  </si>
  <si>
    <t xml:space="preserve">100 eur la 4.66</t>
  </si>
  <si>
    <t xml:space="preserve">acc dob si lichidare</t>
  </si>
  <si>
    <t xml:space="preserve">un-sav ptr eur</t>
  </si>
  <si>
    <t xml:space="preserve">la 4.6574</t>
  </si>
  <si>
    <t xml:space="preserve">cadou nunta Vlad - ai primit 800 inapoi</t>
  </si>
  <si>
    <t xml:space="preserve">un-sav ptr TLK,  ENEL si PAD apartament</t>
  </si>
  <si>
    <t xml:space="preserve">un-sav ptr eur si orange</t>
  </si>
  <si>
    <t xml:space="preserve">53,78 eur la 4.6489</t>
  </si>
  <si>
    <t xml:space="preserve">un-sav</t>
  </si>
  <si>
    <t xml:space="preserve">sav din sal</t>
  </si>
  <si>
    <t xml:space="preserve">sav din salariu</t>
  </si>
  <si>
    <t xml:space="preserve">sav dep fara 425 lei</t>
  </si>
  <si>
    <t xml:space="preserve">un-sav 3 depozite</t>
  </si>
  <si>
    <t xml:space="preserve">new 12mo</t>
  </si>
  <si>
    <t xml:space="preserve">new 3mo</t>
  </si>
  <si>
    <t xml:space="preserve">new 6mo</t>
  </si>
  <si>
    <t xml:space="preserve">un-sav depozit</t>
  </si>
  <si>
    <t xml:space="preserve">EUR-06</t>
  </si>
  <si>
    <t xml:space="preserve">acc dob si un-sav</t>
  </si>
  <si>
    <t xml:space="preserve">ai vindut masina</t>
  </si>
  <si>
    <t xml:space="preserve">un-sav dep temporar ptr jan</t>
  </si>
  <si>
    <t xml:space="preserve">dep-t1</t>
  </si>
  <si>
    <t xml:space="preserve">dep temporar ptr jan</t>
  </si>
  <si>
    <t xml:space="preserve">va tb sa cumperi 10 eur</t>
  </si>
  <si>
    <t xml:space="preserve">achiz eur 4.8670</t>
  </si>
  <si>
    <t xml:space="preserve">un-sav 800 eur ptr depozit EUR-07</t>
  </si>
  <si>
    <t xml:space="preserve">EUR-07</t>
  </si>
  <si>
    <t xml:space="preserve">dep nou si treci data scadenta</t>
  </si>
  <si>
    <t xml:space="preserve">acc dob - refaci la 10k 12 mo si dob o treci in CSH</t>
  </si>
  <si>
    <t xml:space="preserve">sav din dob la DEP-07</t>
  </si>
  <si>
    <t xml:space="preserve">sav / un-sav</t>
  </si>
  <si>
    <t xml:space="preserve">10.7 eur la 4.6727 + 29.81 eur la 4.6633</t>
  </si>
  <si>
    <t xml:space="preserve">21.46 eur la 4.6591</t>
  </si>
  <si>
    <t xml:space="preserve">auto sav 50 lei si acc dob</t>
  </si>
  <si>
    <t xml:space="preserve">lichidezi &amp; acc dob</t>
  </si>
  <si>
    <t xml:space="preserve">diminuezi cu cit ai nevoie</t>
  </si>
  <si>
    <t xml:space="preserve">refaci 10k la 12 luni</t>
  </si>
  <si>
    <t xml:space="preserve">un sav ptr dep eur 08</t>
  </si>
  <si>
    <t xml:space="preserve">EUR-08</t>
  </si>
  <si>
    <t xml:space="preserve">nou 800 eur la 12 luni</t>
  </si>
  <si>
    <t xml:space="preserve">eur la 4.6694</t>
  </si>
  <si>
    <t xml:space="preserve">un-sav ptr intretinere si auto 50 lei si acc dob</t>
  </si>
  <si>
    <t xml:space="preserve">marchezi acc dob si refaci cu 10k la 1 yr</t>
  </si>
  <si>
    <t xml:space="preserve">din doc acc in dep 09</t>
  </si>
  <si>
    <t xml:space="preserve">un-sav 800 ptr dep nou</t>
  </si>
  <si>
    <t xml:space="preserve">EUR-09</t>
  </si>
  <si>
    <t xml:space="preserve">un-sav utilitati si datorie Irish</t>
  </si>
  <si>
    <t xml:space="preserve">acc dob si lichidezi</t>
  </si>
  <si>
    <t xml:space="preserve">sav din myf 08 si trsf rzb</t>
  </si>
  <si>
    <t xml:space="preserve">auto 50 lei &amp; acc dob</t>
  </si>
  <si>
    <t xml:space="preserve">-800 eur</t>
  </si>
  <si>
    <t xml:space="preserve">EUR-10</t>
  </si>
  <si>
    <t xml:space="preserve">+800 eur</t>
  </si>
  <si>
    <t xml:space="preserve">-10k</t>
  </si>
  <si>
    <t xml:space="preserve">+10k</t>
  </si>
  <si>
    <t xml:space="preserve">150 firma ==&gt; 147.75 net (data la care s-a facut OP) ck date</t>
  </si>
  <si>
    <t xml:space="preserve">un-sav intretinere si orange</t>
  </si>
  <si>
    <t xml:space="preserve">20 eur la 4.67</t>
  </si>
  <si>
    <t xml:space="preserve">50 lei auto &amp; acc dob</t>
  </si>
  <si>
    <t xml:space="preserve">un-sav ptr dep 11</t>
  </si>
  <si>
    <t xml:space="preserve">un-sav ptr dep eur 11</t>
  </si>
  <si>
    <t xml:space="preserve">EUR-11</t>
  </si>
  <si>
    <t xml:space="preserve">acc dob si refacere la 1 an</t>
  </si>
  <si>
    <t xml:space="preserve">extragere 800eur ptr EUR-12</t>
  </si>
  <si>
    <t xml:space="preserve">EUR-12</t>
  </si>
  <si>
    <t xml:space="preserve">sav ptr impozite PFA</t>
  </si>
  <si>
    <t xml:space="preserve">un-sav ptr impozite pfa</t>
  </si>
  <si>
    <t xml:space="preserve">un-sav ptr dep-t2</t>
  </si>
  <si>
    <t xml:space="preserve">dep-t2</t>
  </si>
  <si>
    <t xml:space="preserve">dep nou tranzitoriu de 5k</t>
  </si>
  <si>
    <t xml:space="preserve">exchg 50 eur la 4.6717</t>
  </si>
  <si>
    <t xml:space="preserve">exp dep-t1 lichidezi si sav / acc dob</t>
  </si>
  <si>
    <t xml:space="preserve">sav din dep-t1</t>
  </si>
  <si>
    <t xml:space="preserve">sav 50 si acc dob</t>
  </si>
  <si>
    <t xml:space="preserve">un-sav 1700 ptr dep-03</t>
  </si>
  <si>
    <t xml:space="preserve">acc dob si maresti cu 1700</t>
  </si>
  <si>
    <t xml:space="preserve">un-sav 800 ptr EUR-01</t>
  </si>
  <si>
    <t xml:space="preserve">EUR-01</t>
  </si>
  <si>
    <t xml:space="preserve">dep nou 405 eur</t>
  </si>
  <si>
    <t xml:space="preserve">auto-sav 50lei si acc dob</t>
  </si>
  <si>
    <t xml:space="preserve">acc dob + majorare</t>
  </si>
  <si>
    <t xml:space="preserve">un-sav majorare DEP-02</t>
  </si>
  <si>
    <t xml:space="preserve">un-sav creare EUR-02</t>
  </si>
  <si>
    <t xml:space="preserve">EUR-02</t>
  </si>
  <si>
    <t xml:space="preserve">eur-02 nou</t>
  </si>
  <si>
    <t xml:space="preserve">un-sav plata ENEL</t>
  </si>
  <si>
    <t xml:space="preserve">200 auto ==&gt; 197 net</t>
  </si>
  <si>
    <t xml:space="preserve">achiz eur treci si citi lei si citi eur</t>
  </si>
  <si>
    <t xml:space="preserve">AUTO 50 LEI si acc dob</t>
  </si>
  <si>
    <t xml:space="preserve">un-sav ptr dep-03</t>
  </si>
  <si>
    <t xml:space="preserve">acc dob si majorare</t>
  </si>
  <si>
    <t xml:space="preserve">un-sav ptr eur-03</t>
  </si>
  <si>
    <t xml:space="preserve">EUR-03</t>
  </si>
  <si>
    <t xml:space="preserve">dep nou eur-03</t>
  </si>
  <si>
    <t xml:space="preserve">achiz 50 eur</t>
  </si>
  <si>
    <t xml:space="preserve">cump 10 eur</t>
  </si>
  <si>
    <t xml:space="preserve">auto sav si acc dob</t>
  </si>
  <si>
    <t xml:space="preserve">acc-dob si majorare</t>
  </si>
  <si>
    <t xml:space="preserve">un-sav ptr dep-04</t>
  </si>
  <si>
    <t xml:space="preserve">achizitie eur</t>
  </si>
  <si>
    <t xml:space="preserve">mics ptr eur-04</t>
  </si>
  <si>
    <t xml:space="preserve">majorare &amp; 'acc dob</t>
  </si>
  <si>
    <t xml:space="preserve">achiz 50 eur la 4.7866</t>
  </si>
  <si>
    <t xml:space="preserve">plata scomet si orange</t>
  </si>
  <si>
    <t xml:space="preserve">un-sav ptr dep-05</t>
  </si>
  <si>
    <t xml:space="preserve">un-sav ptr eur-05</t>
  </si>
  <si>
    <t xml:space="preserve">sav totul pina luni</t>
  </si>
  <si>
    <t xml:space="preserve">un-sav cit tb trsf in rzb</t>
  </si>
  <si>
    <t xml:space="preserve">un-sav pay intretinere</t>
  </si>
  <si>
    <t xml:space="preserve">achiz eur</t>
  </si>
  <si>
    <t xml:space="preserve">acc dob / majorare si trecere la 15 luni</t>
  </si>
  <si>
    <t xml:space="preserve">un-sav ptr dep 06</t>
  </si>
  <si>
    <t xml:space="preserve">un-sav ptr eur06</t>
  </si>
  <si>
    <t xml:space="preserve">acc dob / majorare</t>
  </si>
  <si>
    <t xml:space="preserve">medicante</t>
  </si>
  <si>
    <t xml:space="preserve">medicante si utilitati</t>
  </si>
  <si>
    <t xml:space="preserve">sav temporar</t>
  </si>
  <si>
    <t xml:space="preserve">un-sav-5003 ptr rzb</t>
  </si>
  <si>
    <t xml:space="preserve">aciz 50 eur</t>
  </si>
  <si>
    <t xml:space="preserve">ub-sav</t>
  </si>
  <si>
    <t xml:space="preserve">ub-sav ptr dep iul 19</t>
  </si>
  <si>
    <t xml:space="preserve">manevre</t>
  </si>
  <si>
    <t xml:space="preserve">aciz 100 eur la 4.75</t>
  </si>
  <si>
    <t xml:space="preserve">400 auto ==&gt; 394 net</t>
  </si>
  <si>
    <t xml:space="preserve">mics ptr dep-08</t>
  </si>
  <si>
    <t xml:space="preserve">acc dob si marire</t>
  </si>
  <si>
    <t xml:space="preserve">mics ptr eur-08</t>
  </si>
  <si>
    <t xml:space="preserve">manevre in avans si savings af luna august</t>
  </si>
  <si>
    <t xml:space="preserve">un-sav cump eur</t>
  </si>
  <si>
    <t xml:space="preserve">achiz ~200 eur (4.7514)</t>
  </si>
  <si>
    <t xml:space="preserve">auto 50 lei si acc dob</t>
  </si>
  <si>
    <t xml:space="preserve">mics ptr re-sav depozit</t>
  </si>
  <si>
    <t xml:space="preserve">acc dob si majorare la 810</t>
  </si>
  <si>
    <t xml:space="preserve">acc dob si majorare la 14k</t>
  </si>
  <si>
    <t xml:space="preserve">sav - manevra</t>
  </si>
  <si>
    <t xml:space="preserve">achiz 4.7629</t>
  </si>
  <si>
    <t xml:space="preserve">manevre / auto-sav / acc dob</t>
  </si>
  <si>
    <t xml:space="preserve">un-sav ptr majorare dep</t>
  </si>
  <si>
    <t xml:space="preserve">50 eur la 4.76= 238</t>
  </si>
  <si>
    <t xml:space="preserve">manevre perioada 21-30-nov-19</t>
  </si>
  <si>
    <t xml:space="preserve">achiz eur la 4.7864</t>
  </si>
  <si>
    <t xml:space="preserve">mics ptr dep t1 care se comaseaza cu DEP-11 la anu'</t>
  </si>
  <si>
    <t xml:space="preserve">dep t1</t>
  </si>
  <si>
    <t xml:space="preserve">dep temporar ptr comasare cu dep-11 in 2020 - 5920 lei</t>
  </si>
  <si>
    <t xml:space="preserve">un-sav majorare eur-11</t>
  </si>
  <si>
    <t xml:space="preserve">acc dob &amp; majorare eur-11</t>
  </si>
  <si>
    <t xml:space="preserve">un-sav manevre / plati diverse</t>
  </si>
  <si>
    <t xml:space="preserve">xchg 4.7986</t>
  </si>
  <si>
    <t xml:space="preserve">auto sav 50 &amp; acc dob</t>
  </si>
  <si>
    <t xml:space="preserve">acc dob si majorare --&gt; 810</t>
  </si>
  <si>
    <t xml:space="preserve">un-sav marire depozit aferent lunii</t>
  </si>
  <si>
    <t xml:space="preserve">acc dob si majorare --&gt; 15k</t>
  </si>
  <si>
    <t xml:space="preserve">achiz eur la 4.82</t>
  </si>
  <si>
    <t xml:space="preserve">dep-T2</t>
  </si>
  <si>
    <t xml:space="preserve">lich in CSH - dob o treci pe dep-01 dupa calcule</t>
  </si>
  <si>
    <t xml:space="preserve">sav din dep-t2</t>
  </si>
  <si>
    <t xml:space="preserve">manevre ptr utilitati si altele</t>
  </si>
  <si>
    <t xml:space="preserve">acc dob si auto sav 50lei</t>
  </si>
  <si>
    <t xml:space="preserve">temporar 8K pentru jan 2021</t>
  </si>
  <si>
    <t xml:space="preserve">micsorare ptr majorare eur-01</t>
  </si>
  <si>
    <t xml:space="preserve">acc dob si majorare la 835</t>
  </si>
  <si>
    <t xml:space="preserve">un-sav diverse invest in electronica</t>
  </si>
  <si>
    <t xml:space="preserve">manevre si sav pina clarif pina pe … 23.01.2020</t>
  </si>
  <si>
    <t xml:space="preserve">achiz 62.43 eur la 4,8053</t>
  </si>
  <si>
    <t xml:space="preserve">dep-mnv</t>
  </si>
  <si>
    <t xml:space="preserve">dep de 1 mo manevra...</t>
  </si>
  <si>
    <t xml:space="preserve">acc dob si majorare la 15k</t>
  </si>
  <si>
    <t xml:space="preserve">un-sav ptr dep-03 pina la 15k</t>
  </si>
  <si>
    <t xml:space="preserve">un-sav ptr majorare depozit aferent</t>
  </si>
  <si>
    <t xml:space="preserve">manevre si sav pina la sf lunii…</t>
  </si>
  <si>
    <t xml:space="preserve">un-sav startup nation</t>
  </si>
  <si>
    <t xml:space="preserve">startup nation</t>
  </si>
  <si>
    <t xml:space="preserve">un-sav utilit, cms si achiz eur</t>
  </si>
  <si>
    <t xml:space="preserve">acc dob si mics ptr dep martie</t>
  </si>
  <si>
    <t xml:space="preserve">sav ptr dep martie</t>
  </si>
  <si>
    <t xml:space="preserve">un-sav imprimanta</t>
  </si>
  <si>
    <t xml:space="preserve">50 auto si aac dob</t>
  </si>
  <si>
    <t xml:space="preserve">majorare si mutare la 3 mo</t>
  </si>
  <si>
    <t xml:space="preserve">un-sav eur</t>
  </si>
  <si>
    <t xml:space="preserve">achiz eur la 4.8527</t>
  </si>
  <si>
    <t xml:space="preserve">un-sav maj dep</t>
  </si>
  <si>
    <t xml:space="preserve">un-sav ptr eur0-04</t>
  </si>
  <si>
    <t xml:space="preserve">acc dob si maj dep</t>
  </si>
  <si>
    <t xml:space="preserve">faci dep 835 eur</t>
  </si>
  <si>
    <t xml:space="preserve">acc dob &amp; lich tot din eur-04a</t>
  </si>
  <si>
    <t xml:space="preserve">sav ce ai lich dep</t>
  </si>
  <si>
    <t xml:space="preserve">sav si manevreve</t>
  </si>
  <si>
    <t xml:space="preserve">mics ptr dep</t>
  </si>
  <si>
    <t xml:space="preserve">acc doc si marire</t>
  </si>
  <si>
    <t xml:space="preserve">acc doc si marire (min la 900)</t>
  </si>
  <si>
    <t xml:space="preserve">monthly auto</t>
  </si>
  <si>
    <t xml:space="preserve">auto 50 &amp; acc dob</t>
  </si>
  <si>
    <t xml:space="preserve">auto 10 &amp; acc dob</t>
  </si>
  <si>
    <t xml:space="preserve">un-sav- utilitati</t>
  </si>
  <si>
    <t xml:space="preserve">rascumparare benefit 2K</t>
  </si>
  <si>
    <t xml:space="preserve">acc doc</t>
  </si>
  <si>
    <t xml:space="preserve">capital social Garanti (200 nerecuperat) si infiintare (600lei)</t>
  </si>
  <si>
    <t xml:space="preserve">rascumparare benefit 5K</t>
  </si>
  <si>
    <t xml:space="preserve">domeniu web si server portal</t>
  </si>
  <si>
    <t xml:space="preserve">tx ridicare acte, stampila, notar, cont crt verif ONRC</t>
  </si>
  <si>
    <t xml:space="preserve">utilitati</t>
  </si>
  <si>
    <t xml:space="preserve">100 notar, 20  tx notar</t>
  </si>
  <si>
    <t xml:space="preserve">recup capital social Garanti + 100 tx reparatii laptop</t>
  </si>
  <si>
    <t xml:space="preserve">un-sav &amp; acc dob</t>
  </si>
  <si>
    <t xml:space="preserve">acc dob si mv in CSH</t>
  </si>
  <si>
    <t xml:space="preserve">mv din dep manevra lichidat</t>
  </si>
  <si>
    <t xml:space="preserve">invest</t>
  </si>
  <si>
    <t xml:space="preserve">un-sav majorare dep</t>
  </si>
  <si>
    <t xml:space="preserve">acc dob &amp; majorare</t>
  </si>
  <si>
    <t xml:space="preserve">rascumparare benefit</t>
  </si>
  <si>
    <t xml:space="preserve">creditare by Petre</t>
  </si>
  <si>
    <t xml:space="preserve">reparatie laptop + 40 tx pe 17</t>
  </si>
  <si>
    <t xml:space="preserve">registre contabile</t>
  </si>
  <si>
    <t xml:space="preserve">un-sav utilitati</t>
  </si>
  <si>
    <t xml:space="preserve">un-sav cms admin</t>
  </si>
  <si>
    <t xml:space="preserve">taxi certof onrc</t>
  </si>
  <si>
    <t xml:space="preserve">un-sav-utilitati</t>
  </si>
  <si>
    <t xml:space="preserve">auto sav + sav din ce-a ramas din rzb + acc dob si re-sav din 1-aug</t>
  </si>
  <si>
    <t xml:space="preserve">rascumparare</t>
  </si>
  <si>
    <t xml:space="preserve">auto 50lei</t>
  </si>
  <si>
    <t xml:space="preserve">acc dob si majorare dep</t>
  </si>
  <si>
    <t xml:space="preserve">un-sav achiz eur</t>
  </si>
  <si>
    <t xml:space="preserve">achiz eur la 4.8979</t>
  </si>
  <si>
    <t xml:space="preserve">server</t>
  </si>
  <si>
    <t xml:space="preserve">manevre oct</t>
  </si>
  <si>
    <t xml:space="preserve">achiz eur curs 4.0009</t>
  </si>
  <si>
    <t xml:space="preserve">acc dob si autosav pe 28/10/2020</t>
  </si>
  <si>
    <t xml:space="preserve">aport capital</t>
  </si>
  <si>
    <t xml:space="preserve">acc dob si lich</t>
  </si>
  <si>
    <t xml:space="preserve">din dep t1 + acc dob la 31-10-20</t>
  </si>
  <si>
    <t xml:space="preserve">un-sav ptr stilouri penmania</t>
  </si>
  <si>
    <t xml:space="preserve">un-sav dep</t>
  </si>
  <si>
    <t xml:space="preserve">un-sav tv</t>
  </si>
  <si>
    <t xml:space="preserve">manevre utilitati</t>
  </si>
  <si>
    <t xml:space="preserve">neoperata pt ca nu au fost bani in cont</t>
  </si>
  <si>
    <t xml:space="preserve">auto sav 50</t>
  </si>
  <si>
    <t xml:space="preserve">un-sav admin cms si accc dob</t>
  </si>
  <si>
    <t xml:space="preserve">un-sav consum curent - mai multe operatii + acc dob pe 26</t>
  </si>
  <si>
    <t xml:space="preserve">auto pp3 200lei</t>
  </si>
  <si>
    <t xml:space="preserve">un-sav consum curent - mai multe operatii + auto-sav 50 pe 28</t>
  </si>
  <si>
    <t xml:space="preserve">acc dob si lichidare in csh</t>
  </si>
  <si>
    <t xml:space="preserve">maj din dep-t2</t>
  </si>
  <si>
    <t xml:space="preserve">un-sav ptr depozit 01</t>
  </si>
  <si>
    <t xml:space="preserve">usav diverse</t>
  </si>
  <si>
    <t xml:space="preserve">unsav utilitati</t>
  </si>
  <si>
    <t xml:space="preserve">diverse mincare…</t>
  </si>
  <si>
    <t xml:space="preserve">lichidare cont</t>
  </si>
  <si>
    <t xml:space="preserve">acc dob si mics</t>
  </si>
  <si>
    <t xml:space="preserve">un-sav general din 10-mar-21</t>
  </si>
  <si>
    <t xml:space="preserve">vindut 1oz + 20gr</t>
  </si>
  <si>
    <t xml:space="preserve">aport numerar / capital</t>
  </si>
  <si>
    <t xml:space="preserve">un-sav utilitati si altele</t>
  </si>
  <si>
    <t xml:space="preserve">auto 200lei</t>
  </si>
  <si>
    <t xml:space="preserve">exp dep; acc dob; manevre</t>
  </si>
  <si>
    <t xml:space="preserve">acc dob / auto sav - l-am scapat luna asta…</t>
  </si>
  <si>
    <t xml:space="preserve">unsav diverse</t>
  </si>
  <si>
    <t xml:space="preserve">un-sav anaf d212 si utilidati</t>
  </si>
  <si>
    <t xml:space="preserve">acc dob, majorare</t>
  </si>
  <si>
    <t xml:space="preserve">sav din xchg</t>
  </si>
  <si>
    <t xml:space="preserve">acc dob si increase</t>
  </si>
  <si>
    <t xml:space="preserve">sav din xchg si ch in timpul lunii</t>
  </si>
  <si>
    <t xml:space="preserve">mai multe</t>
  </si>
  <si>
    <t xml:space="preserve">auto 150lei</t>
  </si>
  <si>
    <t xml:space="preserve">SEP 2021</t>
  </si>
  <si>
    <t xml:space="preserve">OCT 2021</t>
  </si>
  <si>
    <t xml:space="preserve">div oper oct 21, incl append din lich dep eur</t>
  </si>
  <si>
    <t xml:space="preserve">div oper oct 21, FARA SAV DIN XCHG</t>
  </si>
  <si>
    <t xml:space="preserve">diverse, mai multe</t>
  </si>
  <si>
    <t xml:space="preserve">auto 150lei + 200 reglare (cf cu MyInvestments)</t>
  </si>
  <si>
    <t xml:space="preserve">NOV 2021</t>
  </si>
  <si>
    <t xml:space="preserve">acc dob si lichidare 815.85</t>
  </si>
  <si>
    <t xml:space="preserve">div op nov-21</t>
  </si>
  <si>
    <t xml:space="preserve">adjustement to be same as REN files data (prob missed a record)</t>
  </si>
  <si>
    <t xml:space="preserve">DEC 2021</t>
  </si>
  <si>
    <t xml:space="preserve">div op dec-21</t>
  </si>
  <si>
    <t xml:space="preserve">JAN 2022</t>
  </si>
  <si>
    <t xml:space="preserve">acc dob si lichidare 852.30</t>
  </si>
  <si>
    <t xml:space="preserve">div op jan-22</t>
  </si>
  <si>
    <t xml:space="preserve">auto 150lei – trecut si in my investments</t>
  </si>
  <si>
    <t xml:space="preserve">FEB 2022</t>
  </si>
  <si>
    <t xml:space="preserve">div op feb-22</t>
  </si>
  <si>
    <t xml:space="preserve">MAR 2022</t>
  </si>
  <si>
    <t xml:space="preserve">EUR DOES NOT EXISTS for MARCH 2022</t>
  </si>
  <si>
    <t xml:space="preserve">div op mar-22</t>
  </si>
  <si>
    <t xml:space="preserve">APR 2022</t>
  </si>
  <si>
    <t xml:space="preserve">lichidare cont (val = 638.40)</t>
  </si>
  <si>
    <t xml:space="preserve">LICHIDAT / ORICUM Si-A FACUT TREABA OVER… / 10x</t>
  </si>
  <si>
    <t xml:space="preserve">div op apr-22</t>
  </si>
  <si>
    <t xml:space="preserve">MAY 2022</t>
  </si>
  <si>
    <t xml:space="preserve">div op may-22</t>
  </si>
  <si>
    <t xml:space="preserve">JUN 2022</t>
  </si>
  <si>
    <t xml:space="preserve">div op jun-22</t>
  </si>
  <si>
    <t xml:space="preserve">auto 150lei – treci si in my investments</t>
  </si>
  <si>
    <t xml:space="preserve">JUL 2022</t>
  </si>
  <si>
    <t xml:space="preserve">div op jul-22</t>
  </si>
  <si>
    <t xml:space="preserve">AUG 2022</t>
  </si>
  <si>
    <t xml:space="preserve">majorare 300</t>
  </si>
  <si>
    <t xml:space="preserve">div op aug-22</t>
  </si>
  <si>
    <t xml:space="preserve">Ai sarit aceasta luna ca sa ai cash de lucru</t>
  </si>
  <si>
    <t xml:space="preserve">SEP 2022</t>
  </si>
  <si>
    <t xml:space="preserve">div op sep-22</t>
  </si>
  <si>
    <t xml:space="preserve">creditare by Petre / restiture to Petre</t>
  </si>
  <si>
    <t xml:space="preserve">OCT 2022</t>
  </si>
  <si>
    <t xml:space="preserve">div op oct-22</t>
  </si>
  <si>
    <t xml:space="preserve">NOV 2022</t>
  </si>
  <si>
    <r>
      <rPr>
        <sz val="8"/>
        <rFont val="Tahoma"/>
        <family val="2"/>
        <charset val="1"/>
      </rPr>
      <t xml:space="preserve">acc dob &amp; </t>
    </r>
    <r>
      <rPr>
        <sz val="8"/>
        <color rgb="FFC9211E"/>
        <rFont val="Tahoma"/>
        <family val="2"/>
        <charset val="1"/>
      </rPr>
      <t xml:space="preserve">marire 500</t>
    </r>
  </si>
  <si>
    <t xml:space="preserve">div op nov-22</t>
  </si>
  <si>
    <t xml:space="preserve">restiture to Petre prin cuparare produse emag (200 lei netrecuti ptr ca s-a platit direct la emag)</t>
  </si>
  <si>
    <t xml:space="preserve">DEC 2022</t>
  </si>
  <si>
    <t xml:space="preserve">div op dec-22</t>
  </si>
  <si>
    <t xml:space="preserve">JAN 2023</t>
  </si>
  <si>
    <t xml:space="preserve">diverse operatii cash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</si>
  <si>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</si>
  <si>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</si>
  <si>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</si>
  <si>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</si>
  <si>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</si>
  <si>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</si>
  <si>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</si>
  <si>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aug-23</t>
  </si>
  <si>
    <t xml:space="preserve">existent</t>
  </si>
  <si>
    <t xml:space="preserve">New sld lei</t>
  </si>
  <si>
    <t xml:space="preserve">SEP 2023</t>
  </si>
  <si>
    <t xml:space="preserve">OCT 2023</t>
  </si>
  <si>
    <t xml:space="preserve">NOV 2023</t>
  </si>
  <si>
    <t xml:space="preserve">ptr XIRR</t>
  </si>
  <si>
    <t xml:space="preserve">Item</t>
  </si>
  <si>
    <t xml:space="preserve">Amount</t>
  </si>
  <si>
    <t xml:space="preserve">From date:</t>
  </si>
  <si>
    <t xml:space="preserve">Column ref:</t>
  </si>
  <si>
    <t xml:space="preserve">V</t>
  </si>
  <si>
    <t xml:space="preserve">Mon</t>
  </si>
  <si>
    <t xml:space="preserve">I</t>
  </si>
  <si>
    <t xml:space="preserve">Tue</t>
  </si>
  <si>
    <t xml:space="preserve">A</t>
  </si>
  <si>
    <t xml:space="preserve">Wed</t>
  </si>
  <si>
    <t xml:space="preserve">Thu</t>
  </si>
  <si>
    <t xml:space="preserve">G</t>
  </si>
  <si>
    <t xml:space="preserve">Fri</t>
  </si>
  <si>
    <t xml:space="preserve">O</t>
  </si>
  <si>
    <t xml:space="preserve">Sat</t>
  </si>
  <si>
    <t xml:space="preserve">R</t>
  </si>
  <si>
    <t xml:space="preserve">Sun</t>
  </si>
  <si>
    <t xml:space="preserve">Lista comisioane valabile may-2012</t>
  </si>
  <si>
    <t xml:space="preserve">BCR - admin cont esential</t>
  </si>
  <si>
    <t xml:space="preserve">BCR - admin cont curent / card</t>
  </si>
  <si>
    <t xml:space="preserve">GAR - admin conturi crt PF</t>
  </si>
  <si>
    <t xml:space="preserve">GAR - admin conturi crt PFA</t>
  </si>
  <si>
    <t xml:space="preserve">2 eur</t>
  </si>
  <si>
    <t xml:space="preserve"> diff </t>
  </si>
  <si>
    <t xml:space="preserve">GAR-EUR-ECO</t>
  </si>
  <si>
    <t xml:space="preserve">INCHIS </t>
  </si>
  <si>
    <t xml:space="preserve">7486 / iepw: 3914 / ieus: 20834870</t>
  </si>
  <si>
    <t xml:space="preserve"> CSH </t>
  </si>
  <si>
    <t xml:space="preserve"> - </t>
  </si>
  <si>
    <t xml:space="preserve">GAR-EUR</t>
  </si>
  <si>
    <t xml:space="preserve">RO70 UGBI 0000 0820 1804 5EUR </t>
  </si>
  <si>
    <t xml:space="preserve"> cont brd pp3 </t>
  </si>
  <si>
    <t xml:space="preserve">RO41 BTRL RONC RT05 8240 6901 / grant=RO28 BTRL RONM GRT5 8240 6901 / id-neo: W66646IP</t>
  </si>
  <si>
    <t xml:space="preserve"> RO62 BRDE 450S V297 0216 4500 </t>
  </si>
  <si>
    <t xml:space="preserve">GAR-PFA</t>
  </si>
  <si>
    <t xml:space="preserve">INCHIS</t>
  </si>
  <si>
    <t xml:space="preserve">RO04 BTRL RONC RT00 W666 4602 / usr: ? psw: Radical$din_3 / pin token: ? / pin card: 3914/ id: W66646IP</t>
  </si>
  <si>
    <t xml:space="preserve"> txt pp3 </t>
  </si>
  <si>
    <t xml:space="preserve">RO67 RZBR 0000 0600 1907 0648 / pin card si token: 415958 / app usr: petre1111 / 415959</t>
  </si>
  <si>
    <t xml:space="preserve"> 1671119/PETRE IORDANESCU </t>
  </si>
  <si>
    <t xml:space="preserve">RO15 UGBI 0000 0820 0563 7RON / card #: 5213 5044 2672 3949 / pin card: 4159 / usr: 923169 psw: roby23 / pin token: 3914</t>
  </si>
  <si>
    <t xml:space="preserve"> Plata pensie facultativa </t>
  </si>
  <si>
    <t xml:space="preserve">3179 card Coco / iepw: 3914 / ieus: 923169 / zoro72</t>
  </si>
  <si>
    <t xml:space="preserve">catena </t>
  </si>
  <si>
    <t xml:space="preserve">ATM csh</t>
  </si>
  <si>
    <t xml:space="preserve">SCOMET</t>
  </si>
  <si>
    <t xml:space="preserve">UPC</t>
  </si>
  <si>
    <t xml:space="preserve">dr misha bobitze</t>
  </si>
  <si>
    <t xml:space="preserve">cms admin</t>
  </si>
  <si>
    <t xml:space="preserve">cms-trsf</t>
  </si>
  <si>
    <t xml:space="preserve">REN investments</t>
  </si>
  <si>
    <t xml:space="preserve">scoti 250 doctor</t>
  </si>
  <si>
    <t xml:space="preserve">alim plata utilitati</t>
  </si>
  <si>
    <t xml:space="preserve">alim cms adm pfa 15lei</t>
  </si>
  <si>
    <t xml:space="preserve">costel macelarie</t>
  </si>
  <si>
    <t xml:space="preserve">pp3 auto 200lei</t>
  </si>
  <si>
    <t xml:space="preserve">ugrant 2keur</t>
  </si>
  <si>
    <t xml:space="preserve">din depozit</t>
  </si>
  <si>
    <t xml:space="preserve">verif onrc</t>
  </si>
  <si>
    <t xml:space="preserve">dobinda</t>
  </si>
  <si>
    <t xml:space="preserve">aport BT PFA</t>
  </si>
  <si>
    <t xml:space="preserve">achiz ugrant 2k</t>
  </si>
  <si>
    <t xml:space="preserve">alim card +200 pp3</t>
  </si>
  <si>
    <t xml:space="preserve">auto 200 pp3</t>
  </si>
  <si>
    <t xml:space="preserve">din rascumpare</t>
  </si>
  <si>
    <t xml:space="preserve">trodat stampile</t>
  </si>
  <si>
    <t xml:space="preserve">creditare RENware</t>
  </si>
  <si>
    <t xml:space="preserve">creditare PFA</t>
  </si>
  <si>
    <t xml:space="preserve">alim BT</t>
  </si>
  <si>
    <t xml:space="preserve">iB</t>
  </si>
  <si>
    <t xml:space="preserve">atm cash</t>
  </si>
  <si>
    <t xml:space="preserve">unsav si acc dob</t>
  </si>
  <si>
    <t xml:space="preserve">unsav</t>
  </si>
  <si>
    <t xml:space="preserve">schimb 20 eur</t>
  </si>
  <si>
    <t xml:space="preserve"> trsf 2k in rzb </t>
  </si>
  <si>
    <t xml:space="preserve">comision 3 lei</t>
  </si>
  <si>
    <t xml:space="preserve">libraria Victoriei</t>
  </si>
  <si>
    <t xml:space="preserve">dr veterinar misha mincarica si altele</t>
  </si>
  <si>
    <t xml:space="preserve">REN ORNG</t>
  </si>
  <si>
    <t xml:space="preserve">lich cont</t>
  </si>
  <si>
    <t xml:space="preserve">schimb valutar</t>
  </si>
  <si>
    <t xml:space="preserve">alim pfa OBLIGATORIU AZI</t>
  </si>
  <si>
    <t xml:space="preserve">alim pfa</t>
  </si>
  <si>
    <t xml:space="preserve">cms iB</t>
  </si>
  <si>
    <t xml:space="preserve">cms admin si dob</t>
  </si>
  <si>
    <t xml:space="preserve">cms admin si iB</t>
  </si>
  <si>
    <t xml:space="preserve">alim BT PFA</t>
  </si>
  <si>
    <t xml:space="preserve">alim BT PF</t>
  </si>
  <si>
    <t xml:space="preserve">din schimb valutar (curs 4.8360)</t>
  </si>
  <si>
    <t xml:space="preserve">cms trsf</t>
  </si>
  <si>
    <t xml:space="preserve">un-sav diverse</t>
  </si>
  <si>
    <t xml:space="preserve">DGAS</t>
  </si>
  <si>
    <t xml:space="preserve">cms incas</t>
  </si>
  <si>
    <t xml:space="preserve">din vinz aur</t>
  </si>
  <si>
    <t xml:space="preserve">pepco</t>
  </si>
  <si>
    <t xml:space="preserve">mincare misha</t>
  </si>
  <si>
    <t xml:space="preserve">reglare</t>
  </si>
  <si>
    <t xml:space="preserve">impozite primarie s1</t>
  </si>
  <si>
    <t xml:space="preserve">germag</t>
  </si>
  <si>
    <t xml:space="preserve">aport capital REN (treci in LT)</t>
  </si>
  <si>
    <t xml:space="preserve">pp3 alim card</t>
  </si>
  <si>
    <t xml:space="preserve">salus-vet misha tuns</t>
  </si>
  <si>
    <t xml:space="preserve">cms si dob</t>
  </si>
  <si>
    <t xml:space="preserve">rest c admin</t>
  </si>
  <si>
    <t xml:space="preserve">aj spcial</t>
  </si>
  <si>
    <t xml:space="preserve">alim REN ptr orng</t>
  </si>
  <si>
    <t xml:space="preserve">auto pp3 200</t>
  </si>
  <si>
    <t xml:space="preserve">sa fie 15</t>
  </si>
  <si>
    <t xml:space="preserve">pe 2 nu ai avut oper; mega image / pepco / profi</t>
  </si>
  <si>
    <t xml:space="preserve">rest cms adm</t>
  </si>
  <si>
    <t xml:space="preserve">exch eur</t>
  </si>
  <si>
    <t xml:space="preserve">rest cms adm 4 lei</t>
  </si>
  <si>
    <t xml:space="preserve">RENware aport propriu</t>
  </si>
  <si>
    <t xml:space="preserve">comisioane extr numerar</t>
  </si>
  <si>
    <t xml:space="preserve">aj asistenta sociala</t>
  </si>
  <si>
    <t xml:space="preserve">PAD apartament</t>
  </si>
  <si>
    <t xml:space="preserve">alim pfa 15 lei</t>
  </si>
  <si>
    <t xml:space="preserve">for pp3 200</t>
  </si>
  <si>
    <t xml:space="preserve">un-sav utilit si d212</t>
  </si>
  <si>
    <t xml:space="preserve">ANAF DU 212 1650 prin ghiseul.ro, rest 171.20</t>
  </si>
  <si>
    <t xml:space="preserve">enel</t>
  </si>
  <si>
    <t xml:space="preserve">scomet</t>
  </si>
  <si>
    <t xml:space="preserve">vodafone</t>
  </si>
  <si>
    <t xml:space="preserve">cash mincarica</t>
  </si>
  <si>
    <t xml:space="preserve">cms numerar</t>
  </si>
  <si>
    <t xml:space="preserve">INCHIDERE CONT</t>
  </si>
  <si>
    <t xml:space="preserve">din xchg eur</t>
  </si>
  <si>
    <t xml:space="preserve">maj dep06</t>
  </si>
  <si>
    <t xml:space="preserve">salus-vet misha</t>
  </si>
  <si>
    <t xml:space="preserve">Re-sav si acc dob</t>
  </si>
  <si>
    <t xml:space="preserve">13 lei cms adm un-sav</t>
  </si>
  <si>
    <t xml:space="preserve">un-sav si acc dob</t>
  </si>
  <si>
    <t xml:space="preserve">dob si cms</t>
  </si>
  <si>
    <t xml:space="preserve">sav in dep</t>
  </si>
  <si>
    <t xml:space="preserve">Cms 3 lei</t>
  </si>
  <si>
    <t xml:space="preserve">dia</t>
  </si>
  <si>
    <t xml:space="preserve">ANAF DU 212 rest 14lei</t>
  </si>
  <si>
    <t xml:space="preserve">misha</t>
  </si>
  <si>
    <t xml:space="preserve">ness profi</t>
  </si>
  <si>
    <t xml:space="preserve">myf</t>
  </si>
  <si>
    <t xml:space="preserve">dr misha tuns (ramas neintro de ieri)</t>
  </si>
  <si>
    <t xml:space="preserve">cms incasre</t>
  </si>
  <si>
    <t xml:space="preserve">alim ren</t>
  </si>
  <si>
    <t xml:space="preserve">irish pub pizza</t>
  </si>
  <si>
    <t xml:space="preserve">alim pp3 200</t>
  </si>
  <si>
    <t xml:space="preserve">Resav 500</t>
  </si>
  <si>
    <t xml:space="preserve">asiscoc pmb, cms, cms admin</t>
  </si>
  <si>
    <t xml:space="preserve">dob</t>
  </si>
  <si>
    <t xml:space="preserve">un sav</t>
  </si>
  <si>
    <t xml:space="preserve">alim  rzb</t>
  </si>
  <si>
    <t xml:space="preserve">oper intermediare din schimb valutar</t>
  </si>
  <si>
    <t xml:space="preserve">re sav din lich dep</t>
  </si>
  <si>
    <t xml:space="preserve">atm csh</t>
  </si>
  <si>
    <t xml:space="preserve">alim card pt misha</t>
  </si>
  <si>
    <t xml:space="preserve">salus vet</t>
  </si>
  <si>
    <t xml:space="preserve">incas cms 5 lei</t>
  </si>
  <si>
    <t xml:space="preserve">aport numerar pfa</t>
  </si>
  <si>
    <t xml:space="preserve">creditare REN (treci Ltrec si REN)</t>
  </si>
  <si>
    <t xml:space="preserve">pt csh 150 – ck / alim card</t>
  </si>
  <si>
    <t xml:space="preserve">pt pp3 150 – ck / alim card</t>
  </si>
  <si>
    <t xml:space="preserve">cms ib &amp; adm 15 lei / treci de azi</t>
  </si>
  <si>
    <t xml:space="preserve">Re-sav</t>
  </si>
  <si>
    <t xml:space="preserve">myfuture</t>
  </si>
  <si>
    <t xml:space="preserve">din xchg</t>
  </si>
  <si>
    <t xml:space="preserve">pfa alim</t>
  </si>
  <si>
    <t xml:space="preserve">500 aj asistenta sociala</t>
  </si>
  <si>
    <t xml:space="preserve">pp3 auto 150lei</t>
  </si>
  <si>
    <t xml:space="preserve">assoc pmb 250</t>
  </si>
  <si>
    <t xml:space="preserve">cms incasare</t>
  </si>
  <si>
    <t xml:space="preserve">Un-sav diverse</t>
  </si>
  <si>
    <t xml:space="preserve">unsav alim rzb</t>
  </si>
  <si>
    <t xml:space="preserve">alim ptr rzb</t>
  </si>
  <si>
    <t xml:space="preserve">trsf rzb</t>
  </si>
  <si>
    <t xml:space="preserve">Resav 2k</t>
  </si>
  <si>
    <t xml:space="preserve">incas xchg</t>
  </si>
  <si>
    <t xml:space="preserve">exp dep eur – sav all</t>
  </si>
  <si>
    <t xml:space="preserve">my future</t>
  </si>
  <si>
    <t xml:space="preserve">unsv ptr maj dep lei. Treci in lt rec</t>
  </si>
  <si>
    <t xml:space="preserve">alim crd pt misha</t>
  </si>
  <si>
    <t xml:space="preserve">misha mincarica</t>
  </si>
  <si>
    <t xml:space="preserve">alim pp3 150</t>
  </si>
  <si>
    <t xml:space="preserve">pp3</t>
  </si>
  <si>
    <t xml:space="preserve">cms adm 5lei</t>
  </si>
  <si>
    <t xml:space="preserve">cms adm 15lei</t>
  </si>
  <si>
    <t xml:space="preserve">unsv trsf rzb</t>
  </si>
  <si>
    <t xml:space="preserve">Xchg 815.12 eur @ 4.9094</t>
  </si>
  <si>
    <t xml:space="preserve">unsv diverse</t>
  </si>
  <si>
    <t xml:space="preserve">auto pp3 150</t>
  </si>
  <si>
    <t xml:space="preserve">vcms</t>
  </si>
  <si>
    <t xml:space="preserve">omv gara de nord</t>
  </si>
  <si>
    <t xml:space="preserve">bk2gar</t>
  </si>
  <si>
    <t xml:space="preserve">In xchg + alim  rzb</t>
  </si>
  <si>
    <t xml:space="preserve">alim 2k</t>
  </si>
  <si>
    <t xml:space="preserve">bewell.ro</t>
  </si>
  <si>
    <t xml:space="preserve">alim PFA</t>
  </si>
  <si>
    <t xml:space="preserve">Ptr medicam (am uitat sa-i pun la loc)</t>
  </si>
  <si>
    <t xml:space="preserve">pp3 150 alim</t>
  </si>
  <si>
    <t xml:space="preserve">auto 150 pp3 – treci in lt rec si sav</t>
  </si>
  <si>
    <t xml:space="preserve">mv to GAR</t>
  </si>
  <si>
    <t xml:space="preserve">Xchg (840.27 eur)</t>
  </si>
  <si>
    <t xml:space="preserve">alpha trust ceritificat reinoire</t>
  </si>
  <si>
    <t xml:space="preserve">Local ANAF sector 1</t>
  </si>
  <si>
    <t xml:space="preserve">ORANGE</t>
  </si>
  <si>
    <t xml:space="preserve">Re-sav (cu trecere prin curent)</t>
  </si>
  <si>
    <t xml:space="preserve">Resav 656</t>
  </si>
  <si>
    <t xml:space="preserve">Reglare / comision ?</t>
  </si>
  <si>
    <t xml:space="preserve">Reglare ?</t>
  </si>
  <si>
    <t xml:space="preserve">2k unsv → RZB</t>
  </si>
  <si>
    <t xml:space="preserve">rest din old grant pfa</t>
  </si>
  <si>
    <t xml:space="preserve">Citicolina emag</t>
  </si>
  <si>
    <t xml:space="preserve">unsv impzt apt Coco &amp; oth = 236 (135 + 15 + 86)</t>
  </si>
  <si>
    <t xml:space="preserve">unsv impzt apt Coco &amp; oth</t>
  </si>
  <si>
    <t xml:space="preserve">unsv</t>
  </si>
  <si>
    <t xml:space="preserve">ANAF impozit apartament Coco</t>
  </si>
  <si>
    <t xml:space="preserve">re sav</t>
  </si>
  <si>
    <t xml:space="preserve">Un-sav 80lei Misha + Budinca</t>
  </si>
  <si>
    <t xml:space="preserve">Un-sav REN, ECO, cms : 774  = 715 + 50 + 6 + 3</t>
  </si>
  <si>
    <t xml:space="preserve">ALIM REN</t>
  </si>
  <si>
    <t xml:space="preserve">unsav ptr medicamente</t>
  </si>
  <si>
    <t xml:space="preserve">emag citicolina</t>
  </si>
  <si>
    <t xml:space="preserve">auto sav ECO 50 lei</t>
  </si>
  <si>
    <t xml:space="preserve">Reglare ?!?</t>
  </si>
  <si>
    <t xml:space="preserve">alim for sav</t>
  </si>
  <si>
    <t xml:space="preserve">alim gar</t>
  </si>
  <si>
    <t xml:space="preserve">Double alim for sav</t>
  </si>
  <si>
    <t xml:space="preserve">cms alim rzb</t>
  </si>
  <si>
    <t xml:space="preserve">SC BEREZKA… blat tort</t>
  </si>
  <si>
    <t xml:space="preserve">din xchg ep dep (638.4eur x 4.9044)</t>
  </si>
  <si>
    <t xml:space="preserve">salus</t>
  </si>
  <si>
    <t xml:space="preserve">reglari pe acea greseala</t>
  </si>
  <si>
    <t xml:space="preserve">ASSoc reglari</t>
  </si>
  <si>
    <t xml:space="preserve">alim </t>
  </si>
  <si>
    <t xml:space="preserve">pp3 150 auto</t>
  </si>
  <si>
    <t xml:space="preserve">cms ib</t>
  </si>
  <si>
    <t xml:space="preserve">cms incas 5</t>
  </si>
  <si>
    <t xml:space="preserve">reglare sold</t>
  </si>
  <si>
    <t xml:space="preserve">Sav si pp3 alim card</t>
  </si>
  <si>
    <t xml:space="preserve">pp3 150 alim card</t>
  </si>
  <si>
    <t xml:space="preserve">auto pp3 </t>
  </si>
  <si>
    <t xml:space="preserve">asiscoc pmb</t>
  </si>
  <si>
    <t xml:space="preserve">cms adim</t>
  </si>
</sst>
</file>

<file path=xl/styles.xml><?xml version="1.0" encoding="utf-8"?>
<styleSheet xmlns="http://schemas.openxmlformats.org/spreadsheetml/2006/main">
  <numFmts count="20">
    <numFmt numFmtId="164" formatCode="[$-409]d\-mmm\-yy;@"/>
    <numFmt numFmtId="165" formatCode="[$-409]ddd\ d\-mmm\-yy;@"/>
    <numFmt numFmtId="166" formatCode="#,##0.00\ ;[RED]\(#,##0.00\)"/>
    <numFmt numFmtId="167" formatCode="\ * #,##0.00\ ;\ * \(#,##0.00\);\ * \-#\ ;\ @\ "/>
    <numFmt numFmtId="168" formatCode="[$-409]#,##0.00_);[RED]\(#,##0.00\)"/>
    <numFmt numFmtId="169" formatCode="\ * #,##0\ ;\ * \(#,##0\);\ * \-#\ ;\ @\ "/>
    <numFmt numFmtId="170" formatCode="#,##0\ ;[RED]\(#,##0\)"/>
    <numFmt numFmtId="171" formatCode="d\-mmm\-yy"/>
    <numFmt numFmtId="172" formatCode="[$-409]#,##0"/>
    <numFmt numFmtId="173" formatCode="[$-409]General"/>
    <numFmt numFmtId="174" formatCode="[$-409]#,##0.00"/>
    <numFmt numFmtId="175" formatCode="#,##0.00\ ;[RED]\(#,##0.00\);\-"/>
    <numFmt numFmtId="176" formatCode="[$-409]0"/>
    <numFmt numFmtId="177" formatCode="#,##0.00\ ;\(#,##0.00\)"/>
    <numFmt numFmtId="178" formatCode="#,##0.00\ ;\(#,##0.00\);&quot;&quot;"/>
    <numFmt numFmtId="179" formatCode="[$-409]0%"/>
    <numFmt numFmtId="180" formatCode="[$-409]0.00%"/>
    <numFmt numFmtId="181" formatCode="General"/>
    <numFmt numFmtId="182" formatCode="dd\-mmm\-yy"/>
    <numFmt numFmtId="183" formatCode="[$-409]mm/dd/yy"/>
  </numFmts>
  <fonts count="6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9"/>
      <name val="Tahoma"/>
      <family val="2"/>
      <charset val="1"/>
    </font>
    <font>
      <b val="true"/>
      <sz val="16"/>
      <color rgb="FF0000FF"/>
      <name val="Tahoma"/>
      <family val="2"/>
      <charset val="1"/>
    </font>
    <font>
      <b val="true"/>
      <sz val="9"/>
      <color rgb="FF0000FF"/>
      <name val="Tahoma"/>
      <family val="2"/>
      <charset val="1"/>
    </font>
    <font>
      <b val="true"/>
      <sz val="9"/>
      <name val="Tahoma"/>
      <family val="2"/>
      <charset val="1"/>
    </font>
    <font>
      <b val="true"/>
      <sz val="8"/>
      <name val="Tahoma"/>
      <family val="2"/>
      <charset val="1"/>
    </font>
    <font>
      <sz val="10"/>
      <color rgb="FFFFFFFF"/>
      <name val="Tahoma"/>
      <family val="2"/>
      <charset val="1"/>
    </font>
    <font>
      <sz val="9"/>
      <color rgb="FFFFFFFF"/>
      <name val="Tahoma"/>
      <family val="2"/>
      <charset val="1"/>
    </font>
    <font>
      <sz val="10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sz val="9"/>
      <color rgb="FF0000FF"/>
      <name val="Tahoma"/>
      <family val="2"/>
      <charset val="1"/>
    </font>
    <font>
      <b val="true"/>
      <sz val="9"/>
      <color rgb="FFFFFFFF"/>
      <name val="Tahoma"/>
      <family val="2"/>
      <charset val="1"/>
    </font>
    <font>
      <i val="true"/>
      <sz val="9"/>
      <color rgb="FF5983B0"/>
      <name val="Tahoma"/>
      <family val="2"/>
      <charset val="1"/>
    </font>
    <font>
      <b val="true"/>
      <sz val="10"/>
      <name val="Tahoma"/>
      <family val="2"/>
      <charset val="1"/>
    </font>
    <font>
      <sz val="10"/>
      <color rgb="FFC9211E"/>
      <name val="Arial"/>
      <family val="0"/>
      <charset val="1"/>
    </font>
    <font>
      <sz val="8"/>
      <name val="Tahoma"/>
      <family val="2"/>
      <charset val="1"/>
    </font>
    <font>
      <sz val="9"/>
      <color rgb="FFC9211E"/>
      <name val="Tahoma"/>
      <family val="2"/>
      <charset val="1"/>
    </font>
    <font>
      <sz val="10"/>
      <color rgb="FFFFFFFF"/>
      <name val="Arial"/>
      <family val="0"/>
      <charset val="1"/>
    </font>
    <font>
      <i val="true"/>
      <sz val="9"/>
      <color rgb="FFE327FF"/>
      <name val="Tahoma"/>
      <family val="2"/>
      <charset val="1"/>
    </font>
    <font>
      <b val="true"/>
      <sz val="9"/>
      <color rgb="FF5983B0"/>
      <name val="Tahoma"/>
      <family val="2"/>
      <charset val="1"/>
    </font>
    <font>
      <b val="true"/>
      <sz val="10"/>
      <name val="Arial"/>
      <family val="0"/>
      <charset val="1"/>
    </font>
    <font>
      <sz val="8"/>
      <color rgb="FF7F7F7F"/>
      <name val="Tahoma"/>
      <family val="2"/>
      <charset val="1"/>
    </font>
    <font>
      <sz val="8"/>
      <color rgb="FFFFFFFF"/>
      <name val="Tahoma"/>
      <family val="2"/>
      <charset val="1"/>
    </font>
    <font>
      <sz val="8"/>
      <color rgb="FF00FF00"/>
      <name val="Tahoma"/>
      <family val="2"/>
      <charset val="1"/>
    </font>
    <font>
      <b val="true"/>
      <sz val="8"/>
      <color rgb="FF00FF00"/>
      <name val="Tahoma"/>
      <family val="2"/>
      <charset val="1"/>
    </font>
    <font>
      <b val="true"/>
      <sz val="8"/>
      <color rgb="FFFFFFFF"/>
      <name val="Tahoma"/>
      <family val="2"/>
      <charset val="1"/>
    </font>
    <font>
      <sz val="8"/>
      <color rgb="FFFFC000"/>
      <name val="Tahoma"/>
      <family val="2"/>
      <charset val="1"/>
    </font>
    <font>
      <b val="true"/>
      <sz val="8"/>
      <color rgb="FFFFC000"/>
      <name val="Tahoma"/>
      <family val="2"/>
      <charset val="1"/>
    </font>
    <font>
      <sz val="8"/>
      <color rgb="FF00FFFF"/>
      <name val="Tahoma"/>
      <family val="2"/>
      <charset val="1"/>
    </font>
    <font>
      <sz val="8"/>
      <color rgb="FFFFFF00"/>
      <name val="Tahoma"/>
      <family val="2"/>
      <charset val="1"/>
    </font>
    <font>
      <b val="true"/>
      <sz val="8"/>
      <color rgb="FFFFFF00"/>
      <name val="Tahoma"/>
      <family val="2"/>
      <charset val="1"/>
    </font>
    <font>
      <sz val="8"/>
      <color rgb="FFD9D9D9"/>
      <name val="Tahoma"/>
      <family val="2"/>
      <charset val="1"/>
    </font>
    <font>
      <i val="true"/>
      <sz val="8"/>
      <name val="Tahoma"/>
      <family val="2"/>
      <charset val="1"/>
    </font>
    <font>
      <i val="true"/>
      <sz val="8"/>
      <color rgb="FFFF0000"/>
      <name val="Tahoma"/>
      <family val="2"/>
      <charset val="1"/>
    </font>
    <font>
      <sz val="9"/>
      <color rgb="FF000000"/>
      <name val="Tahoma"/>
      <family val="2"/>
      <charset val="1"/>
    </font>
    <font>
      <sz val="6"/>
      <name val="Tahoma"/>
      <family val="2"/>
      <charset val="1"/>
    </font>
    <font>
      <sz val="7"/>
      <name val="Tahoma"/>
      <family val="2"/>
      <charset val="1"/>
    </font>
    <font>
      <sz val="7"/>
      <color rgb="FFFFFFFF"/>
      <name val="Tahoma"/>
      <family val="2"/>
      <charset val="1"/>
    </font>
    <font>
      <sz val="6"/>
      <color rgb="FFFFFFFF"/>
      <name val="Tahoma"/>
      <family val="2"/>
      <charset val="1"/>
    </font>
    <font>
      <b val="true"/>
      <sz val="7"/>
      <name val="Tahoma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9"/>
      <color rgb="FF0000FF"/>
      <name val="Arial"/>
      <family val="2"/>
      <charset val="1"/>
    </font>
    <font>
      <u val="single"/>
      <sz val="6"/>
      <name val="Tahoma"/>
      <family val="2"/>
      <charset val="1"/>
    </font>
    <font>
      <i val="true"/>
      <sz val="7"/>
      <color rgb="FFFFFFFF"/>
      <name val="Tahoma"/>
      <family val="2"/>
      <charset val="1"/>
    </font>
    <font>
      <i val="true"/>
      <sz val="8"/>
      <color rgb="FF254061"/>
      <name val="Tahoma"/>
      <family val="2"/>
      <charset val="1"/>
    </font>
    <font>
      <i val="true"/>
      <sz val="8"/>
      <color rgb="FF595959"/>
      <name val="Tahoma"/>
      <family val="2"/>
      <charset val="1"/>
    </font>
    <font>
      <i val="true"/>
      <sz val="7"/>
      <name val="Tahoma"/>
      <family val="2"/>
      <charset val="1"/>
    </font>
    <font>
      <sz val="8"/>
      <color rgb="FFFF0000"/>
      <name val="Tahoma"/>
      <family val="2"/>
      <charset val="1"/>
    </font>
    <font>
      <sz val="8"/>
      <name val="Tahoma"/>
      <family val="0"/>
      <charset val="1"/>
    </font>
    <font>
      <sz val="8"/>
      <color rgb="FFC9211E"/>
      <name val="Tahoma"/>
      <family val="0"/>
      <charset val="1"/>
    </font>
    <font>
      <sz val="8"/>
      <color rgb="FFC9211E"/>
      <name val="Tahoma"/>
      <family val="2"/>
      <charset val="1"/>
    </font>
    <font>
      <b val="true"/>
      <sz val="8"/>
      <color rgb="FF000000"/>
      <name val="Tahoma"/>
      <family val="2"/>
      <charset val="1"/>
    </font>
    <font>
      <b val="true"/>
      <sz val="8"/>
      <name val="Tahoma"/>
      <family val="0"/>
      <charset val="1"/>
    </font>
    <font>
      <b val="true"/>
      <sz val="8"/>
      <color rgb="FFFFFFA6"/>
      <name val="Tahoma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404040"/>
      <name val="Tahoma"/>
      <family val="2"/>
      <charset val="1"/>
    </font>
    <font>
      <sz val="10"/>
      <color rgb="FF404040"/>
      <name val="Arial"/>
      <family val="2"/>
      <charset val="1"/>
    </font>
    <font>
      <sz val="10"/>
      <color rgb="FFFF0000"/>
      <name val="Tahoma"/>
      <family val="2"/>
      <charset val="1"/>
    </font>
    <font>
      <sz val="9"/>
      <color rgb="FFFF0000"/>
      <name val="Tahoma"/>
      <family val="2"/>
      <charset val="1"/>
    </font>
  </fonts>
  <fills count="52">
    <fill>
      <patternFill patternType="none"/>
    </fill>
    <fill>
      <patternFill patternType="gray125"/>
    </fill>
    <fill>
      <patternFill patternType="solid">
        <fgColor rgb="FFFFC100"/>
        <bgColor rgb="FFFFC000"/>
      </patternFill>
    </fill>
    <fill>
      <patternFill patternType="solid">
        <fgColor rgb="FFCCFFE7"/>
        <bgColor rgb="FFCCFFCC"/>
      </patternFill>
    </fill>
    <fill>
      <patternFill patternType="solid">
        <fgColor rgb="FFDADBDA"/>
        <bgColor rgb="FFDADAD8"/>
      </patternFill>
    </fill>
    <fill>
      <patternFill patternType="solid">
        <fgColor rgb="FF686497"/>
        <bgColor rgb="FF6075A5"/>
      </patternFill>
    </fill>
    <fill>
      <patternFill patternType="darkGray">
        <fgColor rgb="FF000000"/>
        <bgColor rgb="FF1A3046"/>
      </patternFill>
    </fill>
    <fill>
      <patternFill patternType="solid">
        <fgColor rgb="FFFEB487"/>
        <bgColor rgb="FFFED28F"/>
      </patternFill>
    </fill>
    <fill>
      <patternFill patternType="solid">
        <fgColor rgb="FFF2F29F"/>
        <bgColor rgb="FFFFFFA2"/>
      </patternFill>
    </fill>
    <fill>
      <patternFill patternType="solid">
        <fgColor rgb="FFFFFF00"/>
        <bgColor rgb="FFFFFF8F"/>
      </patternFill>
    </fill>
    <fill>
      <patternFill patternType="solid">
        <fgColor rgb="FFFFC000"/>
        <bgColor rgb="FFFFC100"/>
      </patternFill>
    </fill>
    <fill>
      <patternFill patternType="solid">
        <fgColor rgb="FF79D31E"/>
        <bgColor rgb="FF81D41A"/>
      </patternFill>
    </fill>
    <fill>
      <patternFill patternType="solid">
        <fgColor rgb="FF296198"/>
        <bgColor rgb="FF1F6081"/>
      </patternFill>
    </fill>
    <fill>
      <patternFill patternType="solid">
        <fgColor rgb="FFB7DEE8"/>
        <bgColor rgb="FFDADBDA"/>
      </patternFill>
    </fill>
    <fill>
      <patternFill patternType="solid">
        <fgColor rgb="FF007F00"/>
        <bgColor rgb="FF017D01"/>
      </patternFill>
    </fill>
    <fill>
      <patternFill patternType="solid">
        <fgColor rgb="FFB2B2B2"/>
        <bgColor rgb="FFC0C0C0"/>
      </patternFill>
    </fill>
    <fill>
      <patternFill patternType="darkGray">
        <fgColor rgb="FFC6C6C6"/>
        <bgColor rgb="FFC2C2C2"/>
      </patternFill>
    </fill>
    <fill>
      <patternFill patternType="solid">
        <fgColor rgb="FFECEFF3"/>
        <bgColor rgb="FFE2E5ED"/>
      </patternFill>
    </fill>
    <fill>
      <patternFill patternType="solid">
        <fgColor rgb="FFC2C2C2"/>
        <bgColor rgb="FFC0C0C0"/>
      </patternFill>
    </fill>
    <fill>
      <patternFill patternType="solid">
        <fgColor rgb="FFFFFFFF"/>
        <bgColor rgb="FFFEFFD7"/>
      </patternFill>
    </fill>
    <fill>
      <patternFill patternType="solid">
        <fgColor rgb="FF0000FF"/>
        <bgColor rgb="FF32329A"/>
      </patternFill>
    </fill>
    <fill>
      <patternFill patternType="solid">
        <fgColor rgb="FFFEFFD7"/>
        <bgColor rgb="FFFFFFFF"/>
      </patternFill>
    </fill>
    <fill>
      <patternFill patternType="solid">
        <fgColor rgb="FFFF00FF"/>
        <bgColor rgb="FFC9211E"/>
      </patternFill>
    </fill>
    <fill>
      <patternFill patternType="solid">
        <fgColor rgb="FFFFFF8F"/>
        <bgColor rgb="FFFFFFA2"/>
      </patternFill>
    </fill>
    <fill>
      <patternFill patternType="solid">
        <fgColor rgb="FFFFFFA2"/>
        <bgColor rgb="FFFFFF8F"/>
      </patternFill>
    </fill>
    <fill>
      <patternFill patternType="solid">
        <fgColor rgb="FF000000"/>
        <bgColor rgb="FF1A3046"/>
      </patternFill>
    </fill>
    <fill>
      <patternFill patternType="solid">
        <fgColor rgb="FF214264"/>
        <bgColor rgb="FF355269"/>
      </patternFill>
    </fill>
    <fill>
      <patternFill patternType="solid">
        <fgColor rgb="FFF483FD"/>
        <bgColor rgb="FFFEB487"/>
      </patternFill>
    </fill>
    <fill>
      <patternFill patternType="darkGray">
        <fgColor rgb="FFFED28F"/>
        <bgColor rgb="FFFEB487"/>
      </patternFill>
    </fill>
    <fill>
      <patternFill patternType="solid">
        <fgColor rgb="FF98CCFE"/>
        <bgColor rgb="FF99CCFF"/>
      </patternFill>
    </fill>
    <fill>
      <patternFill patternType="solid">
        <fgColor rgb="FF017D01"/>
        <bgColor rgb="FF007F00"/>
      </patternFill>
    </fill>
    <fill>
      <patternFill patternType="solid">
        <fgColor rgb="FF81D41A"/>
        <bgColor rgb="FF79D31E"/>
      </patternFill>
    </fill>
    <fill>
      <patternFill patternType="solid">
        <fgColor rgb="FF43C330"/>
        <bgColor rgb="FF5AD01D"/>
      </patternFill>
    </fill>
    <fill>
      <patternFill patternType="solid">
        <fgColor rgb="FFD2D8B7"/>
        <bgColor rgb="FFDADAD8"/>
      </patternFill>
    </fill>
    <fill>
      <patternFill patternType="solid">
        <fgColor rgb="FFC6C6C6"/>
        <bgColor rgb="FFC2C2C2"/>
      </patternFill>
    </fill>
    <fill>
      <patternFill patternType="solid">
        <fgColor rgb="FF5AD01D"/>
        <bgColor rgb="FF63D31A"/>
      </patternFill>
    </fill>
    <fill>
      <patternFill patternType="solid">
        <fgColor rgb="FF26348C"/>
        <bgColor rgb="FF32329A"/>
      </patternFill>
    </fill>
    <fill>
      <patternFill patternType="solid">
        <fgColor rgb="FF355269"/>
        <bgColor rgb="FF214264"/>
      </patternFill>
    </fill>
    <fill>
      <patternFill patternType="darkGray">
        <fgColor rgb="FF63D31A"/>
        <bgColor rgb="FF5AD01D"/>
      </patternFill>
    </fill>
    <fill>
      <patternFill patternType="solid">
        <fgColor rgb="FFE2E5ED"/>
        <bgColor rgb="FFECEFF3"/>
      </patternFill>
    </fill>
    <fill>
      <patternFill patternType="solid">
        <fgColor rgb="FF3E413E"/>
        <bgColor rgb="FF355269"/>
      </patternFill>
    </fill>
    <fill>
      <patternFill patternType="solid">
        <fgColor rgb="FFCB1F1B"/>
        <bgColor rgb="FFC9211E"/>
      </patternFill>
    </fill>
    <fill>
      <patternFill patternType="solid">
        <fgColor rgb="FF63D31A"/>
        <bgColor rgb="FF5AD01D"/>
      </patternFill>
    </fill>
    <fill>
      <patternFill patternType="solid">
        <fgColor rgb="FF32329A"/>
        <bgColor rgb="FF333399"/>
      </patternFill>
    </fill>
    <fill>
      <patternFill patternType="solid">
        <fgColor rgb="FF1A3046"/>
        <bgColor rgb="FF214264"/>
      </patternFill>
    </fill>
    <fill>
      <patternFill patternType="darkGray">
        <fgColor rgb="FFFED28F"/>
        <bgColor rgb="FFF2F29F"/>
      </patternFill>
    </fill>
    <fill>
      <patternFill patternType="solid">
        <fgColor rgb="FF729FCF"/>
        <bgColor rgb="FF878787"/>
      </patternFill>
    </fill>
    <fill>
      <patternFill patternType="solid">
        <fgColor rgb="FF1F6081"/>
        <bgColor rgb="FF296198"/>
      </patternFill>
    </fill>
    <fill>
      <patternFill patternType="solid">
        <fgColor rgb="FF00FF00"/>
        <bgColor rgb="FF43C330"/>
      </patternFill>
    </fill>
    <fill>
      <patternFill patternType="solid">
        <fgColor rgb="FFFF0000"/>
        <bgColor rgb="FFCB1F1B"/>
      </patternFill>
    </fill>
    <fill>
      <patternFill patternType="solid">
        <fgColor rgb="FF878787"/>
        <bgColor rgb="FF808080"/>
      </patternFill>
    </fill>
    <fill>
      <patternFill patternType="solid">
        <fgColor rgb="FF820000"/>
        <bgColor rgb="FFCB1F1B"/>
      </patternFill>
    </fill>
  </fills>
  <borders count="6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>
        <color rgb="FFFFFFFF"/>
      </right>
      <top style="thin"/>
      <bottom style="thin"/>
      <diagonal/>
    </border>
    <border diagonalUp="false" diagonalDown="false">
      <left style="medium">
        <color rgb="FFFFFFFF"/>
      </left>
      <right/>
      <top style="thin"/>
      <bottom style="thin"/>
      <diagonal/>
    </border>
    <border diagonalUp="false" diagonalDown="false">
      <left/>
      <right style="medium">
        <color rgb="FFFFFFFF"/>
      </right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medium"/>
      <bottom style="dashed"/>
      <diagonal/>
    </border>
    <border diagonalUp="false" diagonalDown="false">
      <left/>
      <right style="medium"/>
      <top style="medium"/>
      <bottom style="dashed"/>
      <diagonal/>
    </border>
    <border diagonalUp="false" diagonalDown="false">
      <left style="medium"/>
      <right/>
      <top style="dashed"/>
      <bottom style="dashed"/>
      <diagonal/>
    </border>
    <border diagonalUp="false" diagonalDown="false">
      <left/>
      <right style="medium"/>
      <top style="dashed"/>
      <bottom style="dashed"/>
      <diagonal/>
    </border>
    <border diagonalUp="false" diagonalDown="false">
      <left style="medium"/>
      <right/>
      <top style="dashed"/>
      <bottom style="medium"/>
      <diagonal/>
    </border>
    <border diagonalUp="false" diagonalDown="false">
      <left/>
      <right style="medium"/>
      <top style="dashed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/>
      <right style="medium"/>
      <top style="thin"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medium"/>
      <top style="hair"/>
      <bottom style="hair"/>
      <diagonal/>
    </border>
    <border diagonalUp="false" diagonalDown="false">
      <left style="medium"/>
      <right/>
      <top style="hair"/>
      <bottom style="medium"/>
      <diagonal/>
    </border>
    <border diagonalUp="false" diagonalDown="false">
      <left/>
      <right/>
      <top style="hair"/>
      <bottom style="medium"/>
      <diagonal/>
    </border>
    <border diagonalUp="false" diagonalDown="false">
      <left/>
      <right style="medium"/>
      <top style="hair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5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5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5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10" fillId="5" borderId="0" xfId="15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1" fillId="5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11" fillId="6" borderId="0" xfId="15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11" fillId="6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4" fillId="7" borderId="0" xfId="15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7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2" fillId="8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4" fillId="8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4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4" fillId="0" borderId="0" xfId="15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5" fillId="9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2" fillId="10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4" fillId="1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11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4" fillId="11" borderId="0" xfId="15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11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15" fillId="12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1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13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4" fillId="13" borderId="0" xfId="15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13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16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4" fillId="4" borderId="0" xfId="15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4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5" fontId="15" fillId="5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5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1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15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9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21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7" borderId="2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16" fillId="0" borderId="3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22" fillId="0" borderId="3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5" fillId="16" borderId="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23" fillId="0" borderId="3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8" fillId="0" borderId="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5" fillId="9" borderId="3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4" fillId="9" borderId="4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4" fillId="1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4" fillId="1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9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9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1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18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18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9" fillId="18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19" fillId="18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8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9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25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9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9" fillId="1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9" fillId="19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9" fillId="19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9" fillId="19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0" fontId="19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9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9" fillId="19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0" fontId="9" fillId="19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9" fillId="0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9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26" fillId="2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9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18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19" fillId="1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9" fillId="15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19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19" fillId="1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19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9" fillId="1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9" fillId="1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9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9" fillId="21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9" fillId="15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9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9" fillId="15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9" fillId="1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9" fillId="1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9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9" fillId="1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9" fillId="1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9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9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9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9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9" fillId="15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9" fillId="2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9" fillId="2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9" fillId="2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9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9" fillId="11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9" fillId="1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9" fillId="11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9" fillId="15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9" fillId="0" borderId="26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9" fillId="15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9" fillId="2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9" fillId="2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9" fillId="2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19" fillId="1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4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7" fillId="25" borderId="2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28" fillId="25" borderId="2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29" fillId="26" borderId="2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29" fillId="26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30" fillId="25" borderId="2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31" fillId="25" borderId="3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32" fillId="25" borderId="2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32" fillId="25" borderId="3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0" fontId="33" fillId="25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34" fillId="25" borderId="3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0" fontId="28" fillId="12" borderId="2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35" fillId="25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35" fillId="25" borderId="3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1" fontId="19" fillId="27" borderId="2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9" fillId="27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19" fillId="2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9" fillId="28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9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19" fillId="3" borderId="2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9" fillId="3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9" fillId="24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9" fillId="28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9" fillId="29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26" fillId="30" borderId="2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9" fillId="3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9" fillId="7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2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2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1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31" borderId="3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9" fillId="31" borderId="35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1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9" fillId="32" borderId="3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9" fillId="32" borderId="35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9" fillId="19" borderId="3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9" fillId="19" borderId="35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9" fillId="31" borderId="3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9" fillId="31" borderId="37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9" fillId="32" borderId="3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9" fillId="32" borderId="37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9" fillId="19" borderId="3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9" fillId="19" borderId="37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9" fillId="31" borderId="3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9" fillId="31" borderId="39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9" fillId="1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32" borderId="3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9" fillId="32" borderId="39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9" fillId="0" borderId="3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9" fillId="0" borderId="39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9" fillId="21" borderId="4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9" fillId="21" borderId="4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9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3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3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3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3" fontId="3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36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3" fontId="1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19" fillId="3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0" fontId="19" fillId="3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5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19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4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3" fontId="41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3" fontId="42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3" fontId="33" fillId="0" borderId="0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3" fontId="2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3" fontId="26" fillId="3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26" fillId="3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3" fontId="4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3" fontId="41" fillId="37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3" fontId="41" fillId="37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3" fontId="42" fillId="37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3" fontId="34" fillId="25" borderId="0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3" fontId="29" fillId="38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29" fillId="35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29" fillId="3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39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19" fillId="39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39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19" fillId="39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19" fillId="13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9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5" fillId="0" borderId="45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36" fillId="33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8" fontId="19" fillId="0" borderId="2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19" fillId="8" borderId="4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19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39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19" fillId="39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39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19" fillId="39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19" fillId="29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9" fillId="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5" fillId="0" borderId="5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9" fillId="4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8" fontId="19" fillId="0" borderId="4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" fillId="4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" fillId="41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" fillId="41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5" fontId="19" fillId="13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19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19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8" fontId="19" fillId="0" borderId="1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2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19" fillId="42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42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19" fillId="42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19" fillId="4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9" fillId="0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7" fontId="9" fillId="0" borderId="1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9" fillId="35" borderId="1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9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41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26" fillId="41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41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26" fillId="41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26" fillId="43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6" fillId="0" borderId="5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33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19" fillId="33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33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19" fillId="33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30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26" fillId="3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3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26" fillId="3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19" fillId="2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19" fillId="2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7" fillId="37" borderId="5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29" fillId="37" borderId="5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26" fillId="37" borderId="5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29" fillId="37" borderId="5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26" fillId="37" borderId="5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8" fillId="37" borderId="52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49" fillId="37" borderId="53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5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0" fillId="2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19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9" fillId="0" borderId="4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19" fillId="0" borderId="4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6" fontId="40" fillId="0" borderId="49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9" fillId="14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29" fillId="14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14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14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9" fillId="0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4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49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19" fillId="0" borderId="4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19" fillId="0" borderId="49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5" fontId="19" fillId="0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4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9" fillId="0" borderId="49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0" fontId="19" fillId="0" borderId="4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19" fillId="0" borderId="4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19" fillId="0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9" fillId="0" borderId="4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19" fillId="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9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1" fontId="19" fillId="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19" fillId="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9" fillId="0" borderId="49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1" fillId="0" borderId="4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6" fontId="52" fillId="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2" fillId="0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2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2" fillId="0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2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52" fillId="0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2" fillId="0" borderId="4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1" fontId="52" fillId="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2" fillId="0" borderId="49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2" fontId="52" fillId="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9" fillId="0" borderId="4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2" fontId="52" fillId="44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2" fillId="44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2" fillId="44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2" fillId="44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2" fillId="44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2" fillId="44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52" fillId="44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19" fillId="44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3" fontId="9" fillId="44" borderId="4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3" fontId="52" fillId="0" borderId="4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3" fillId="0" borderId="4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3" fontId="54" fillId="0" borderId="4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52" fillId="0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2" fontId="52" fillId="42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2" fillId="42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2" fillId="42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2" fillId="42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2" fillId="42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2" fillId="42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52" fillId="42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19" fillId="42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3" fontId="55" fillId="42" borderId="4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2" fillId="45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19" fillId="0" borderId="49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5" fontId="56" fillId="0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2" fillId="2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52" fillId="2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2" fontId="52" fillId="46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2" fillId="46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2" fillId="46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2" fillId="46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2" fillId="46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2" fillId="46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52" fillId="46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19" fillId="46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3" fontId="57" fillId="46" borderId="4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3" fontId="9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9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29" fillId="47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47" borderId="4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47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47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19" fillId="0" borderId="49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8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8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8" fillId="0" borderId="5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9" fillId="0" borderId="5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5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9" fillId="0" borderId="5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9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9" fillId="9" borderId="57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59" fillId="9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9" fillId="9" borderId="58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9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4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0" fillId="0" borderId="5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5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36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48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9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49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59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6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6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6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8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0" fillId="0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1" fillId="5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62" fillId="50" borderId="0" xfId="15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3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1" fillId="51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5" fillId="4" borderId="0" xfId="15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0" fillId="51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10" fillId="51" borderId="0" xfId="15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9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4" fillId="9" borderId="0" xfId="15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1" fillId="4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62" fillId="4" borderId="0" xfId="15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5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5" fillId="0" borderId="0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7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5" fillId="0" borderId="0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5" fillId="0" borderId="0" xfId="15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5" fillId="0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8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26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5" fillId="0" borderId="0" xfId="15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73" fontId="5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9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7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4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y)current_date" xfId="21"/>
    <cellStyle name="*unknown*" xfId="20" builtinId="8"/>
  </cellStyles>
  <dxfs count="70">
    <dxf>
      <font>
        <name val="Arial"/>
        <charset val="1"/>
        <family val="0"/>
      </font>
      <numFmt numFmtId="164" formatCode="[$-409]d\-mmm\-yy;@"/>
      <fill>
        <patternFill>
          <bgColor rgb="FFC0C0C0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FFFF00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FFFFFF"/>
        </patternFill>
      </fill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  <fill>
        <patternFill>
          <bgColor rgb="FFCCFFCC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DADAD8"/>
        </patternFill>
      </fill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  <fill>
        <patternFill>
          <bgColor rgb="FFFFFFFF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214266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604A7B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808080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99CCFF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C0C0C0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FFFF00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FFFFFF"/>
        </patternFill>
      </fill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  <b val="1"/>
      </font>
      <numFmt numFmtId="164" formatCode="[$-409]d\-mmm\-yy;@"/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  <fill>
        <patternFill>
          <bgColor rgb="FFCCFFCC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DADAD8"/>
        </patternFill>
      </fill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  <fill>
        <patternFill>
          <bgColor rgb="FFFFFFFF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99CCFF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C0C0C0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FFFF00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FFFFFF"/>
        </patternFill>
      </fill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  <fill>
        <patternFill>
          <bgColor rgb="FFCCFFCC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DADAD8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604A7B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808080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99CCFF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C0C0C0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CCFFCC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DADAD8"/>
        </patternFill>
      </fill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  <fill>
        <patternFill>
          <bgColor rgb="FFFFFF00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FFFFFF"/>
        </patternFill>
      </fill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  <fill>
        <patternFill>
          <bgColor rgb="FF666699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FFFFFF"/>
        </patternFill>
      </fill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  <fill>
        <patternFill>
          <bgColor rgb="FF808080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99CCFF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C0C0C0"/>
        </patternFill>
      </fill>
    </dxf>
    <dxf>
      <fill>
        <patternFill patternType="solid">
          <fgColor rgb="FF007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FC100"/>
        </patternFill>
      </fill>
    </dxf>
    <dxf>
      <fill>
        <patternFill patternType="solid">
          <fgColor rgb="FF1A3046"/>
        </patternFill>
      </fill>
    </dxf>
    <dxf>
      <fill>
        <patternFill patternType="solid">
          <fgColor rgb="FF1F6081"/>
        </patternFill>
      </fill>
    </dxf>
    <dxf>
      <fill>
        <patternFill patternType="solid">
          <fgColor rgb="FF63D31A"/>
        </patternFill>
      </fill>
    </dxf>
    <dxf>
      <fill>
        <patternFill patternType="solid">
          <fgColor rgb="FF729FC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C9211E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FFA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20000"/>
      <rgbColor rgb="FF007F00"/>
      <rgbColor rgb="FF26348C"/>
      <rgbColor rgb="FF79D31E"/>
      <rgbColor rgb="FFD2D8B7"/>
      <rgbColor rgb="FF1F6081"/>
      <rgbColor rgb="FFC0C0C0"/>
      <rgbColor rgb="FF808080"/>
      <rgbColor rgb="FF729FCF"/>
      <rgbColor rgb="FF5F4D74"/>
      <rgbColor rgb="FFFEFFD7"/>
      <rgbColor rgb="FFCCFFE7"/>
      <rgbColor rgb="FFDADBDA"/>
      <rgbColor rgb="FFFEB487"/>
      <rgbColor rgb="FF296198"/>
      <rgbColor rgb="FFDADAD8"/>
      <rgbColor rgb="FF32329A"/>
      <rgbColor rgb="FFC6C6C6"/>
      <rgbColor rgb="FFFFFF8F"/>
      <rgbColor rgb="FF63D31A"/>
      <rgbColor rgb="FFB7DEE8"/>
      <rgbColor rgb="FFE2E5ED"/>
      <rgbColor rgb="FF017D01"/>
      <rgbColor rgb="FFF2F29F"/>
      <rgbColor rgb="FF5AD01D"/>
      <rgbColor rgb="FFECEFF3"/>
      <rgbColor rgb="FFCCFFCC"/>
      <rgbColor rgb="FFFFFFA2"/>
      <rgbColor rgb="FF99CCFF"/>
      <rgbColor rgb="FFF483FD"/>
      <rgbColor rgb="FFB2B2B2"/>
      <rgbColor rgb="FFFED28F"/>
      <rgbColor rgb="FF6075A5"/>
      <rgbColor rgb="FF98CCFE"/>
      <rgbColor rgb="FF81D41A"/>
      <rgbColor rgb="FFFFC100"/>
      <rgbColor rgb="FFFFC000"/>
      <rgbColor rgb="FFC2C2C2"/>
      <rgbColor rgb="FF686497"/>
      <rgbColor rgb="FF878787"/>
      <rgbColor rgb="FF1A3046"/>
      <rgbColor rgb="FF43C330"/>
      <rgbColor rgb="FF355269"/>
      <rgbColor rgb="FF214264"/>
      <rgbColor rgb="FFC9211E"/>
      <rgbColor rgb="FFCB1F1B"/>
      <rgbColor rgb="FF333399"/>
      <rgbColor rgb="FF3E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externalLink" Target="externalLinks/externalLink1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_MyInvestments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AU"/>
      <sheetName val="PP2 det"/>
      <sheetName val="PP2"/>
      <sheetName val="PP3"/>
      <sheetName val="MKT"/>
      <sheetName val="Centralizator ACTIV"/>
      <sheetName val="STRUCT portf"/>
      <sheetName val="DPCache_STRUCT portf"/>
      <sheetName val="DPCache_P&amp;L"/>
      <sheetName val="DPCache_LT summary"/>
      <sheetName val="DPCache_B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tre.iordanescu@gm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AMJ18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9" topLeftCell="E1836" activePane="bottomRight" state="frozen"/>
      <selection pane="topLeft" activeCell="A1" activeCellId="0" sqref="A1"/>
      <selection pane="topRight" activeCell="E1" activeCellId="0" sqref="E1"/>
      <selection pane="bottomLeft" activeCell="A1836" activeCellId="0" sqref="A1836"/>
      <selection pane="bottomRight" activeCell="I1845" activeCellId="0" sqref="I1845"/>
    </sheetView>
  </sheetViews>
  <sheetFormatPr defaultColWidth="9.171875" defaultRowHeight="12.8" zeroHeight="false" outlineLevelRow="0" outlineLevelCol="0"/>
  <cols>
    <col collapsed="false" customWidth="true" hidden="false" outlineLevel="0" max="1" min="1" style="1" width="12.83"/>
    <col collapsed="false" customWidth="true" hidden="false" outlineLevel="0" max="2" min="2" style="1" width="32.36"/>
    <col collapsed="false" customWidth="true" hidden="false" outlineLevel="0" max="3" min="3" style="2" width="8.39"/>
    <col collapsed="false" customWidth="true" hidden="false" outlineLevel="0" max="4" min="4" style="2" width="9.59"/>
    <col collapsed="false" customWidth="true" hidden="true" outlineLevel="0" max="5" min="5" style="2" width="36"/>
    <col collapsed="false" customWidth="true" hidden="true" outlineLevel="0" max="6" min="6" style="1" width="15.56"/>
    <col collapsed="false" customWidth="true" hidden="false" outlineLevel="0" max="7" min="7" style="3" width="13.19"/>
    <col collapsed="false" customWidth="true" hidden="false" outlineLevel="0" max="8" min="8" style="4" width="12.44"/>
    <col collapsed="false" customWidth="true" hidden="false" outlineLevel="0" max="9" min="9" style="5" width="9.9"/>
    <col collapsed="false" customWidth="true" hidden="false" outlineLevel="0" max="10" min="10" style="6" width="43.93"/>
    <col collapsed="false" customWidth="true" hidden="false" outlineLevel="0" max="11" min="11" style="7" width="30.39"/>
    <col collapsed="false" customWidth="true" hidden="false" outlineLevel="0" max="12" min="12" style="7" width="11.44"/>
    <col collapsed="false" customWidth="true" hidden="false" outlineLevel="0" max="13" min="13" style="1" width="6.83"/>
    <col collapsed="false" customWidth="true" hidden="false" outlineLevel="0" max="14" min="14" style="1" width="7.11"/>
    <col collapsed="false" customWidth="false" hidden="false" outlineLevel="0" max="1016" min="15" style="1" width="9.16"/>
    <col collapsed="false" customWidth="true" hidden="false" outlineLevel="0" max="1024" min="1017" style="0" width="11.52"/>
  </cols>
  <sheetData>
    <row r="1" customFormat="false" ht="19.7" hidden="false" customHeight="false" outlineLevel="0" collapsed="false">
      <c r="A1" s="0"/>
      <c r="B1" s="8"/>
      <c r="C1" s="8"/>
      <c r="D1" s="8"/>
      <c r="E1" s="8"/>
      <c r="F1" s="8"/>
      <c r="G1" s="9" t="s">
        <v>0</v>
      </c>
      <c r="H1" s="9"/>
      <c r="I1" s="9"/>
      <c r="J1" s="9"/>
      <c r="K1" s="10"/>
      <c r="L1" s="11"/>
    </row>
    <row r="2" s="20" customFormat="true" ht="12.8" hidden="false" customHeight="false" outlineLevel="0" collapsed="false">
      <c r="A2" s="12" t="s">
        <v>1</v>
      </c>
      <c r="B2" s="12" t="s">
        <v>2</v>
      </c>
      <c r="C2" s="13" t="s">
        <v>3</v>
      </c>
      <c r="D2" s="14" t="s">
        <v>4</v>
      </c>
      <c r="E2" s="13" t="s">
        <v>5</v>
      </c>
      <c r="F2" s="15" t="s">
        <v>6</v>
      </c>
      <c r="G2" s="16" t="s">
        <v>7</v>
      </c>
      <c r="H2" s="17" t="s">
        <v>1</v>
      </c>
      <c r="I2" s="17" t="s">
        <v>8</v>
      </c>
      <c r="J2" s="18" t="s">
        <v>6</v>
      </c>
      <c r="K2" s="7"/>
      <c r="L2" s="19" t="s">
        <v>9</v>
      </c>
      <c r="O2" s="1"/>
      <c r="P2" s="1"/>
      <c r="Q2" s="1"/>
      <c r="R2" s="1"/>
      <c r="S2" s="1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1" t="s">
        <v>10</v>
      </c>
      <c r="B3" s="21" t="s">
        <v>11</v>
      </c>
      <c r="C3" s="21" t="s">
        <v>12</v>
      </c>
      <c r="D3" s="22" t="n">
        <f aca="false">SUMIF($H:$H,$A3,$I:$I)</f>
        <v>0.900000000000041</v>
      </c>
      <c r="E3" s="23"/>
      <c r="F3" s="24"/>
      <c r="G3" s="25" t="n">
        <v>44149</v>
      </c>
      <c r="H3" s="26" t="s">
        <v>10</v>
      </c>
      <c r="I3" s="5" t="n">
        <v>2426</v>
      </c>
      <c r="J3" s="27" t="s">
        <v>13</v>
      </c>
      <c r="K3" s="28" t="s">
        <v>14</v>
      </c>
      <c r="L3" s="29" t="n">
        <f aca="false">ROUND($D8-'LT summary'!$F$18,2)</f>
        <v>0</v>
      </c>
    </row>
    <row r="4" customFormat="false" ht="13.75" hidden="false" customHeight="false" outlineLevel="0" collapsed="false">
      <c r="A4" s="30" t="s">
        <v>15</v>
      </c>
      <c r="B4" s="30" t="s">
        <v>16</v>
      </c>
      <c r="C4" s="30" t="s">
        <v>12</v>
      </c>
      <c r="D4" s="31" t="n">
        <f aca="false">SUMIF($H:$H,$A4,$I:$I)</f>
        <v>2000.1</v>
      </c>
      <c r="E4" s="23"/>
      <c r="F4" s="24"/>
      <c r="G4" s="25" t="n">
        <v>44149</v>
      </c>
      <c r="H4" s="32" t="s">
        <v>15</v>
      </c>
      <c r="I4" s="5" t="n">
        <v>0.76</v>
      </c>
      <c r="J4" s="27" t="s">
        <v>13</v>
      </c>
      <c r="K4" s="33" t="s">
        <v>17</v>
      </c>
      <c r="L4" s="34" t="n">
        <f aca="false">0.58+250-34.7-45.44</f>
        <v>170.44</v>
      </c>
    </row>
    <row r="5" customFormat="false" ht="13.75" hidden="false" customHeight="false" outlineLevel="0" collapsed="false">
      <c r="A5" s="27" t="s">
        <v>18</v>
      </c>
      <c r="B5" s="35" t="s">
        <v>19</v>
      </c>
      <c r="C5" s="27"/>
      <c r="D5" s="36"/>
      <c r="E5" s="37" t="s">
        <v>20</v>
      </c>
      <c r="F5" s="24"/>
      <c r="G5" s="25" t="n">
        <v>44149</v>
      </c>
      <c r="H5" s="38" t="s">
        <v>21</v>
      </c>
      <c r="I5" s="5" t="n">
        <v>0.39</v>
      </c>
      <c r="J5" s="27" t="s">
        <v>13</v>
      </c>
      <c r="K5" s="39" t="s">
        <v>22</v>
      </c>
      <c r="L5" s="40" t="n">
        <f aca="false">700-259.21-136.79-179.99-124.01</f>
        <v>0</v>
      </c>
    </row>
    <row r="6" customFormat="false" ht="12.8" hidden="false" customHeight="false" outlineLevel="0" collapsed="false">
      <c r="A6" s="41" t="s">
        <v>23</v>
      </c>
      <c r="B6" s="41" t="s">
        <v>24</v>
      </c>
      <c r="C6" s="41" t="s">
        <v>12</v>
      </c>
      <c r="D6" s="42" t="n">
        <f aca="false">SUMIF($H:$H,$A6,$I:$I)</f>
        <v>19.27</v>
      </c>
      <c r="E6" s="37" t="s">
        <v>20</v>
      </c>
      <c r="F6" s="24"/>
      <c r="G6" s="25" t="n">
        <v>44149</v>
      </c>
      <c r="H6" s="43" t="s">
        <v>23</v>
      </c>
      <c r="I6" s="5" t="n">
        <v>133.37</v>
      </c>
      <c r="J6" s="27" t="s">
        <v>13</v>
      </c>
      <c r="K6" s="44" t="s">
        <v>25</v>
      </c>
      <c r="L6" s="45"/>
    </row>
    <row r="7" customFormat="false" ht="12.8" hidden="false" customHeight="false" outlineLevel="0" collapsed="false">
      <c r="A7" s="46" t="s">
        <v>26</v>
      </c>
      <c r="B7" s="46" t="s">
        <v>27</v>
      </c>
      <c r="C7" s="46" t="s">
        <v>12</v>
      </c>
      <c r="D7" s="47" t="n">
        <f aca="false">SUMIF($H:$H,$A7,$I:$I)</f>
        <v>55.98</v>
      </c>
      <c r="E7" s="37" t="s">
        <v>28</v>
      </c>
      <c r="F7" s="24"/>
      <c r="G7" s="25" t="n">
        <v>44149</v>
      </c>
      <c r="H7" s="48" t="s">
        <v>26</v>
      </c>
      <c r="I7" s="5" t="n">
        <v>5.18</v>
      </c>
      <c r="J7" s="27" t="s">
        <v>13</v>
      </c>
      <c r="K7" s="7" t="s">
        <v>29</v>
      </c>
      <c r="L7" s="49" t="s">
        <v>30</v>
      </c>
    </row>
    <row r="8" customFormat="false" ht="12.8" hidden="false" customHeight="false" outlineLevel="0" collapsed="false">
      <c r="A8" s="50" t="s">
        <v>14</v>
      </c>
      <c r="B8" s="50" t="s">
        <v>31</v>
      </c>
      <c r="C8" s="50" t="s">
        <v>12</v>
      </c>
      <c r="D8" s="51" t="n">
        <f aca="false">SUMIF($H:$H,$A8,$I:$I)</f>
        <v>17657.29</v>
      </c>
      <c r="E8" s="23"/>
      <c r="G8" s="25" t="n">
        <v>44149</v>
      </c>
      <c r="H8" s="52" t="s">
        <v>14</v>
      </c>
      <c r="I8" s="5" t="n">
        <v>7472.42</v>
      </c>
      <c r="J8" s="27" t="s">
        <v>13</v>
      </c>
      <c r="K8" s="7" t="s">
        <v>32</v>
      </c>
      <c r="L8" s="49" t="s">
        <v>33</v>
      </c>
    </row>
    <row r="9" customFormat="false" ht="12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7" t="s">
        <v>34</v>
      </c>
      <c r="L9" s="49" t="s">
        <v>33</v>
      </c>
      <c r="U9" s="0"/>
      <c r="V9" s="0"/>
      <c r="W9" s="0"/>
      <c r="X9" s="0"/>
      <c r="Y9" s="0"/>
    </row>
    <row r="10" customFormat="false" ht="12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U10" s="0"/>
      <c r="V10" s="0"/>
      <c r="W10" s="0"/>
      <c r="X10" s="0"/>
      <c r="Y10" s="0"/>
    </row>
    <row r="11" customFormat="false" ht="12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U11" s="0"/>
      <c r="V11" s="0"/>
      <c r="W11" s="0"/>
      <c r="X11" s="0"/>
      <c r="Y11" s="0"/>
    </row>
    <row r="12" customFormat="false" ht="12.8" hidden="false" customHeight="false" outlineLevel="0" collapsed="false">
      <c r="G12" s="25"/>
      <c r="H12" s="0"/>
      <c r="J12" s="0"/>
      <c r="K12" s="0"/>
      <c r="L12" s="0"/>
      <c r="U12" s="0"/>
      <c r="V12" s="0"/>
      <c r="W12" s="0"/>
      <c r="X12" s="0"/>
      <c r="Y12" s="0"/>
    </row>
    <row r="13" customFormat="false" ht="12.8" hidden="false" customHeight="false" outlineLevel="0" collapsed="false">
      <c r="G13" s="25" t="n">
        <v>44715</v>
      </c>
      <c r="H13" s="32" t="s">
        <v>15</v>
      </c>
      <c r="J13" s="0" t="s">
        <v>35</v>
      </c>
      <c r="K13" s="0"/>
      <c r="L13" s="0"/>
      <c r="U13" s="0"/>
      <c r="V13" s="0"/>
      <c r="W13" s="0"/>
      <c r="X13" s="0"/>
      <c r="Y13" s="0"/>
    </row>
    <row r="14" customFormat="false" ht="12.8" hidden="false" customHeight="false" outlineLevel="0" collapsed="false">
      <c r="G14" s="25" t="n">
        <v>44715</v>
      </c>
      <c r="H14" s="26" t="s">
        <v>10</v>
      </c>
      <c r="J14" s="0" t="s">
        <v>35</v>
      </c>
      <c r="K14" s="0"/>
      <c r="L14" s="0"/>
      <c r="M14" s="0"/>
      <c r="U14" s="0"/>
      <c r="V14" s="0"/>
      <c r="W14" s="0"/>
      <c r="X14" s="0"/>
      <c r="Y14" s="0"/>
    </row>
    <row r="15" customFormat="false" ht="12.8" hidden="false" customHeight="false" outlineLevel="0" collapsed="false">
      <c r="G15" s="53" t="s">
        <v>36</v>
      </c>
      <c r="H15" s="53"/>
      <c r="I15" s="53"/>
      <c r="J15" s="53"/>
      <c r="K15" s="53"/>
      <c r="L15" s="0"/>
      <c r="M15" s="0"/>
      <c r="U15" s="0"/>
      <c r="V15" s="0"/>
      <c r="W15" s="0"/>
      <c r="X15" s="0"/>
      <c r="Y15" s="0"/>
    </row>
    <row r="16" customFormat="false" ht="12.8" hidden="false" customHeight="false" outlineLevel="0" collapsed="false">
      <c r="G16" s="25" t="n">
        <v>44715</v>
      </c>
      <c r="H16" s="43" t="s">
        <v>23</v>
      </c>
      <c r="I16" s="5" t="n">
        <v>-49.3</v>
      </c>
      <c r="J16" s="54" t="s">
        <v>37</v>
      </c>
      <c r="K16" s="0"/>
      <c r="L16" s="0"/>
      <c r="U16" s="0"/>
      <c r="V16" s="0"/>
      <c r="W16" s="0"/>
      <c r="X16" s="0"/>
      <c r="Y16" s="0"/>
    </row>
    <row r="17" customFormat="false" ht="12.8" hidden="false" customHeight="false" outlineLevel="0" collapsed="false">
      <c r="G17" s="25" t="n">
        <v>44716</v>
      </c>
      <c r="H17" s="43" t="s">
        <v>23</v>
      </c>
      <c r="I17" s="5" t="n">
        <v>-51.27</v>
      </c>
      <c r="J17" s="54" t="s">
        <v>37</v>
      </c>
      <c r="K17" s="0"/>
      <c r="L17" s="0"/>
      <c r="U17" s="0"/>
      <c r="V17" s="0"/>
      <c r="W17" s="0"/>
      <c r="X17" s="0"/>
      <c r="Y17" s="0"/>
    </row>
    <row r="18" customFormat="false" ht="12.8" hidden="false" customHeight="false" outlineLevel="0" collapsed="false">
      <c r="G18" s="25" t="n">
        <v>44716</v>
      </c>
      <c r="H18" s="43" t="s">
        <v>23</v>
      </c>
      <c r="I18" s="5" t="n">
        <v>-24.79</v>
      </c>
      <c r="J18" s="54" t="s">
        <v>37</v>
      </c>
      <c r="K18" s="0"/>
      <c r="L18" s="0"/>
      <c r="U18" s="0"/>
      <c r="V18" s="0"/>
      <c r="W18" s="0"/>
      <c r="X18" s="0"/>
      <c r="Y18" s="0"/>
    </row>
    <row r="19" customFormat="false" ht="12.8" hidden="false" customHeight="false" outlineLevel="0" collapsed="false">
      <c r="G19" s="25" t="n">
        <v>44717</v>
      </c>
      <c r="H19" s="26" t="s">
        <v>10</v>
      </c>
      <c r="I19" s="5" t="n">
        <v>-55</v>
      </c>
      <c r="J19" s="54" t="s">
        <v>38</v>
      </c>
      <c r="K19" s="0"/>
      <c r="L19" s="0"/>
      <c r="U19" s="0"/>
      <c r="V19" s="0"/>
      <c r="W19" s="0"/>
      <c r="X19" s="0"/>
      <c r="Y19" s="0"/>
    </row>
    <row r="20" customFormat="false" ht="12.8" hidden="false" customHeight="false" outlineLevel="0" collapsed="false">
      <c r="G20" s="25" t="n">
        <v>44717</v>
      </c>
      <c r="H20" s="32" t="s">
        <v>15</v>
      </c>
      <c r="I20" s="5" t="n">
        <v>55</v>
      </c>
      <c r="J20" s="54" t="s">
        <v>38</v>
      </c>
      <c r="K20" s="0"/>
      <c r="L20" s="0"/>
      <c r="U20" s="0"/>
      <c r="V20" s="0"/>
      <c r="W20" s="0"/>
      <c r="X20" s="0"/>
      <c r="Y20" s="0"/>
    </row>
    <row r="21" customFormat="false" ht="12.8" hidden="false" customHeight="false" outlineLevel="0" collapsed="false">
      <c r="G21" s="25" t="n">
        <v>44717</v>
      </c>
      <c r="H21" s="32" t="s">
        <v>15</v>
      </c>
      <c r="I21" s="5" t="n">
        <v>-50.3</v>
      </c>
      <c r="J21" s="54" t="s">
        <v>37</v>
      </c>
      <c r="K21" s="0"/>
      <c r="L21" s="0"/>
      <c r="U21" s="0"/>
      <c r="V21" s="0"/>
      <c r="W21" s="0"/>
      <c r="X21" s="0"/>
      <c r="Y21" s="0"/>
    </row>
    <row r="22" customFormat="false" ht="13.75" hidden="false" customHeight="false" outlineLevel="0" collapsed="false">
      <c r="G22" s="25" t="n">
        <v>44718</v>
      </c>
      <c r="H22" s="52" t="s">
        <v>14</v>
      </c>
      <c r="I22" s="5" t="n">
        <v>-2000</v>
      </c>
      <c r="J22" s="10" t="s">
        <v>39</v>
      </c>
      <c r="K22" s="5"/>
      <c r="L22" s="0"/>
      <c r="U22" s="0"/>
      <c r="V22" s="0"/>
      <c r="W22" s="0"/>
      <c r="X22" s="0"/>
      <c r="Y22" s="0"/>
    </row>
    <row r="23" customFormat="false" ht="12.8" hidden="false" customHeight="false" outlineLevel="0" collapsed="false">
      <c r="G23" s="25" t="n">
        <v>44718</v>
      </c>
      <c r="H23" s="26" t="s">
        <v>10</v>
      </c>
      <c r="I23" s="5" t="n">
        <v>-51</v>
      </c>
      <c r="J23" s="54" t="s">
        <v>38</v>
      </c>
      <c r="K23" s="5"/>
      <c r="L23" s="0"/>
      <c r="U23" s="0"/>
      <c r="V23" s="0"/>
      <c r="W23" s="0"/>
      <c r="X23" s="0"/>
      <c r="Y23" s="0"/>
    </row>
    <row r="24" customFormat="false" ht="12.8" hidden="false" customHeight="false" outlineLevel="0" collapsed="false">
      <c r="G24" s="25" t="n">
        <v>44718</v>
      </c>
      <c r="H24" s="32" t="s">
        <v>15</v>
      </c>
      <c r="I24" s="5" t="n">
        <v>51</v>
      </c>
      <c r="J24" s="54" t="s">
        <v>38</v>
      </c>
      <c r="K24" s="5"/>
      <c r="L24" s="0"/>
      <c r="U24" s="0"/>
      <c r="V24" s="0"/>
      <c r="W24" s="0"/>
      <c r="X24" s="0"/>
      <c r="Y24" s="0"/>
    </row>
    <row r="25" customFormat="false" ht="12.8" hidden="false" customHeight="false" outlineLevel="0" collapsed="false">
      <c r="G25" s="25" t="n">
        <v>44718</v>
      </c>
      <c r="H25" s="32" t="s">
        <v>15</v>
      </c>
      <c r="I25" s="5" t="n">
        <v>-51.56</v>
      </c>
      <c r="J25" s="54" t="s">
        <v>37</v>
      </c>
      <c r="K25" s="0"/>
      <c r="L25" s="0"/>
      <c r="U25" s="0"/>
      <c r="V25" s="0"/>
      <c r="W25" s="0"/>
      <c r="X25" s="0"/>
      <c r="Y25" s="0"/>
    </row>
    <row r="26" customFormat="false" ht="12.8" hidden="false" customHeight="false" outlineLevel="0" collapsed="false">
      <c r="G26" s="25" t="n">
        <v>44718</v>
      </c>
      <c r="H26" s="52" t="s">
        <v>14</v>
      </c>
      <c r="I26" s="5" t="n">
        <v>0.6</v>
      </c>
      <c r="J26" s="0" t="s">
        <v>40</v>
      </c>
      <c r="K26" s="0"/>
      <c r="L26" s="0"/>
      <c r="U26" s="0"/>
      <c r="V26" s="0"/>
      <c r="W26" s="0"/>
      <c r="X26" s="0"/>
      <c r="Y26" s="0"/>
    </row>
    <row r="27" customFormat="false" ht="12.8" hidden="false" customHeight="false" outlineLevel="0" collapsed="false">
      <c r="G27" s="25" t="n">
        <v>44719</v>
      </c>
      <c r="H27" s="26" t="s">
        <v>10</v>
      </c>
      <c r="I27" s="5" t="n">
        <v>-51</v>
      </c>
      <c r="J27" s="54" t="s">
        <v>38</v>
      </c>
      <c r="K27" s="0"/>
      <c r="L27" s="0"/>
      <c r="U27" s="0"/>
      <c r="V27" s="0"/>
      <c r="W27" s="0"/>
      <c r="X27" s="0"/>
      <c r="Y27" s="0"/>
    </row>
    <row r="28" customFormat="false" ht="12.8" hidden="false" customHeight="false" outlineLevel="0" collapsed="false">
      <c r="G28" s="25" t="n">
        <v>44719</v>
      </c>
      <c r="H28" s="32" t="s">
        <v>15</v>
      </c>
      <c r="I28" s="5" t="n">
        <v>51</v>
      </c>
      <c r="J28" s="54" t="s">
        <v>38</v>
      </c>
      <c r="K28" s="5"/>
      <c r="L28" s="0"/>
      <c r="U28" s="0"/>
      <c r="V28" s="0"/>
      <c r="W28" s="0"/>
      <c r="X28" s="0"/>
      <c r="Y28" s="0"/>
    </row>
    <row r="29" customFormat="false" ht="12.8" hidden="false" customHeight="false" outlineLevel="0" collapsed="false">
      <c r="G29" s="25" t="n">
        <v>44719</v>
      </c>
      <c r="H29" s="32" t="s">
        <v>15</v>
      </c>
      <c r="I29" s="5" t="n">
        <f aca="false">5.6-55.9</f>
        <v>-50.3</v>
      </c>
      <c r="J29" s="54" t="s">
        <v>37</v>
      </c>
      <c r="K29" s="0"/>
      <c r="L29" s="0"/>
      <c r="U29" s="0"/>
      <c r="V29" s="0"/>
      <c r="W29" s="0"/>
      <c r="X29" s="0"/>
      <c r="Y29" s="0"/>
    </row>
    <row r="30" customFormat="false" ht="12.8" hidden="false" customHeight="false" outlineLevel="0" collapsed="false">
      <c r="G30" s="25" t="n">
        <v>44719</v>
      </c>
      <c r="H30" s="26" t="s">
        <v>10</v>
      </c>
      <c r="I30" s="5" t="n">
        <v>-50</v>
      </c>
      <c r="J30" s="54" t="s">
        <v>38</v>
      </c>
      <c r="K30" s="5"/>
      <c r="L30" s="0"/>
      <c r="U30" s="0"/>
      <c r="V30" s="0"/>
      <c r="W30" s="0"/>
      <c r="X30" s="0"/>
      <c r="Y30" s="0"/>
    </row>
    <row r="31" customFormat="false" ht="12.8" hidden="false" customHeight="false" outlineLevel="0" collapsed="false">
      <c r="G31" s="25" t="n">
        <v>44719</v>
      </c>
      <c r="H31" s="32" t="s">
        <v>15</v>
      </c>
      <c r="I31" s="5" t="n">
        <v>50</v>
      </c>
      <c r="J31" s="54" t="s">
        <v>38</v>
      </c>
      <c r="K31" s="5"/>
      <c r="L31" s="0"/>
      <c r="U31" s="0"/>
      <c r="V31" s="0"/>
      <c r="W31" s="0"/>
      <c r="X31" s="0"/>
      <c r="Y31" s="0"/>
    </row>
    <row r="32" customFormat="false" ht="12.8" hidden="false" customHeight="false" outlineLevel="0" collapsed="false">
      <c r="G32" s="25" t="n">
        <v>44719</v>
      </c>
      <c r="H32" s="32" t="s">
        <v>15</v>
      </c>
      <c r="I32" s="5" t="n">
        <v>-27.13</v>
      </c>
      <c r="J32" s="54" t="s">
        <v>37</v>
      </c>
      <c r="K32" s="0"/>
      <c r="L32" s="0"/>
      <c r="U32" s="0"/>
      <c r="V32" s="0"/>
      <c r="W32" s="0"/>
      <c r="X32" s="0"/>
      <c r="Y32" s="0"/>
    </row>
    <row r="33" customFormat="false" ht="12.8" hidden="false" customHeight="false" outlineLevel="0" collapsed="false">
      <c r="G33" s="25" t="n">
        <v>44719</v>
      </c>
      <c r="H33" s="26" t="s">
        <v>10</v>
      </c>
      <c r="I33" s="5" t="n">
        <v>-12</v>
      </c>
      <c r="J33" s="54" t="s">
        <v>38</v>
      </c>
      <c r="K33" s="0"/>
      <c r="L33" s="0"/>
      <c r="U33" s="0"/>
      <c r="V33" s="0"/>
      <c r="W33" s="0"/>
      <c r="X33" s="0"/>
      <c r="Y33" s="0"/>
    </row>
    <row r="34" customFormat="false" ht="12.8" hidden="false" customHeight="false" outlineLevel="0" collapsed="false">
      <c r="G34" s="25" t="n">
        <v>44719</v>
      </c>
      <c r="H34" s="32" t="s">
        <v>15</v>
      </c>
      <c r="I34" s="5" t="n">
        <v>12</v>
      </c>
      <c r="J34" s="54" t="s">
        <v>38</v>
      </c>
      <c r="K34" s="0"/>
      <c r="L34" s="5"/>
      <c r="U34" s="0"/>
      <c r="V34" s="0"/>
      <c r="W34" s="0"/>
      <c r="X34" s="0"/>
      <c r="Y34" s="0"/>
    </row>
    <row r="35" customFormat="false" ht="12.8" hidden="false" customHeight="false" outlineLevel="0" collapsed="false">
      <c r="G35" s="25" t="n">
        <v>44719</v>
      </c>
      <c r="H35" s="32" t="s">
        <v>15</v>
      </c>
      <c r="I35" s="5" t="n">
        <v>-40.25</v>
      </c>
      <c r="J35" s="54" t="s">
        <v>37</v>
      </c>
      <c r="K35" s="5"/>
      <c r="L35" s="0"/>
      <c r="U35" s="0"/>
      <c r="V35" s="0"/>
      <c r="W35" s="0"/>
      <c r="X35" s="0"/>
      <c r="Y35" s="0"/>
    </row>
    <row r="36" customFormat="false" ht="12.8" hidden="false" customHeight="false" outlineLevel="0" collapsed="false">
      <c r="G36" s="25" t="n">
        <v>44720</v>
      </c>
      <c r="H36" s="26" t="s">
        <v>10</v>
      </c>
      <c r="I36" s="5" t="n">
        <v>-85</v>
      </c>
      <c r="J36" s="54" t="s">
        <v>38</v>
      </c>
      <c r="K36" s="5"/>
      <c r="L36" s="0"/>
      <c r="U36" s="0"/>
      <c r="V36" s="0"/>
      <c r="W36" s="0"/>
      <c r="X36" s="0"/>
      <c r="Y36" s="0"/>
    </row>
    <row r="37" customFormat="false" ht="12.8" hidden="false" customHeight="false" outlineLevel="0" collapsed="false">
      <c r="G37" s="25" t="n">
        <v>44720</v>
      </c>
      <c r="H37" s="32" t="s">
        <v>15</v>
      </c>
      <c r="I37" s="5" t="n">
        <v>85</v>
      </c>
      <c r="J37" s="54" t="s">
        <v>38</v>
      </c>
      <c r="K37" s="5"/>
      <c r="L37" s="0"/>
      <c r="U37" s="0"/>
      <c r="V37" s="0"/>
      <c r="W37" s="0"/>
      <c r="X37" s="0"/>
      <c r="Y37" s="0"/>
    </row>
    <row r="38" customFormat="false" ht="12.8" hidden="false" customHeight="false" outlineLevel="0" collapsed="false">
      <c r="G38" s="25" t="n">
        <v>44720</v>
      </c>
      <c r="H38" s="32" t="s">
        <v>15</v>
      </c>
      <c r="I38" s="5" t="n">
        <v>-49.3</v>
      </c>
      <c r="J38" s="54" t="s">
        <v>37</v>
      </c>
      <c r="K38" s="0"/>
      <c r="L38" s="0"/>
      <c r="U38" s="0"/>
      <c r="V38" s="0"/>
      <c r="W38" s="0"/>
      <c r="X38" s="0"/>
      <c r="Y38" s="0"/>
    </row>
    <row r="39" customFormat="false" ht="12.8" hidden="false" customHeight="false" outlineLevel="0" collapsed="false">
      <c r="G39" s="25" t="n">
        <v>44720</v>
      </c>
      <c r="H39" s="26" t="s">
        <v>10</v>
      </c>
      <c r="I39" s="5" t="n">
        <v>-15</v>
      </c>
      <c r="J39" s="54" t="s">
        <v>38</v>
      </c>
      <c r="K39" s="0"/>
      <c r="L39" s="0"/>
      <c r="U39" s="0"/>
      <c r="V39" s="0"/>
      <c r="W39" s="0"/>
      <c r="X39" s="0"/>
      <c r="Y39" s="0"/>
    </row>
    <row r="40" customFormat="false" ht="12.8" hidden="false" customHeight="false" outlineLevel="0" collapsed="false">
      <c r="G40" s="25" t="n">
        <v>44720</v>
      </c>
      <c r="H40" s="32" t="s">
        <v>15</v>
      </c>
      <c r="I40" s="5" t="n">
        <v>15</v>
      </c>
      <c r="J40" s="54" t="s">
        <v>38</v>
      </c>
      <c r="K40" s="0"/>
      <c r="L40" s="0"/>
      <c r="U40" s="0"/>
      <c r="V40" s="0"/>
      <c r="W40" s="0"/>
      <c r="X40" s="0"/>
      <c r="Y40" s="0"/>
    </row>
    <row r="41" customFormat="false" ht="12.8" hidden="false" customHeight="false" outlineLevel="0" collapsed="false">
      <c r="G41" s="25" t="n">
        <v>44720</v>
      </c>
      <c r="H41" s="32" t="s">
        <v>15</v>
      </c>
      <c r="I41" s="5" t="n">
        <v>-50</v>
      </c>
      <c r="J41" s="0" t="s">
        <v>41</v>
      </c>
      <c r="K41" s="0"/>
      <c r="L41" s="0"/>
      <c r="U41" s="0"/>
      <c r="V41" s="0"/>
      <c r="W41" s="0"/>
      <c r="X41" s="0"/>
      <c r="Y41" s="0"/>
    </row>
    <row r="42" customFormat="false" ht="12.8" hidden="false" customHeight="false" outlineLevel="0" collapsed="false">
      <c r="G42" s="25" t="n">
        <v>44721</v>
      </c>
      <c r="H42" s="26" t="s">
        <v>10</v>
      </c>
      <c r="I42" s="5" t="n">
        <v>-55</v>
      </c>
      <c r="J42" s="54" t="s">
        <v>38</v>
      </c>
      <c r="K42" s="0"/>
      <c r="L42" s="0"/>
      <c r="U42" s="0"/>
      <c r="V42" s="0"/>
      <c r="W42" s="0"/>
      <c r="X42" s="0"/>
      <c r="Y42" s="0"/>
    </row>
    <row r="43" customFormat="false" ht="12.8" hidden="false" customHeight="false" outlineLevel="0" collapsed="false">
      <c r="G43" s="25" t="n">
        <v>44721</v>
      </c>
      <c r="H43" s="32" t="s">
        <v>15</v>
      </c>
      <c r="I43" s="5" t="n">
        <v>55</v>
      </c>
      <c r="J43" s="54" t="s">
        <v>38</v>
      </c>
      <c r="K43" s="0"/>
      <c r="L43" s="0"/>
      <c r="U43" s="0"/>
      <c r="V43" s="0"/>
      <c r="W43" s="0"/>
      <c r="X43" s="0"/>
      <c r="Y43" s="0"/>
    </row>
    <row r="44" customFormat="false" ht="12.8" hidden="false" customHeight="false" outlineLevel="0" collapsed="false">
      <c r="G44" s="25" t="n">
        <v>44721</v>
      </c>
      <c r="H44" s="32" t="s">
        <v>15</v>
      </c>
      <c r="I44" s="5" t="n">
        <v>-49.55</v>
      </c>
      <c r="J44" s="54" t="s">
        <v>37</v>
      </c>
      <c r="K44" s="0"/>
      <c r="L44" s="0"/>
      <c r="U44" s="0"/>
      <c r="V44" s="0"/>
      <c r="W44" s="0"/>
      <c r="X44" s="0"/>
      <c r="Y44" s="0"/>
    </row>
    <row r="45" customFormat="false" ht="12.8" hidden="false" customHeight="false" outlineLevel="0" collapsed="false">
      <c r="G45" s="25" t="n">
        <v>44722</v>
      </c>
      <c r="H45" s="26" t="s">
        <v>10</v>
      </c>
      <c r="I45" s="5" t="n">
        <v>-50</v>
      </c>
      <c r="J45" s="54" t="s">
        <v>38</v>
      </c>
      <c r="K45" s="0"/>
      <c r="L45" s="0"/>
      <c r="U45" s="0"/>
      <c r="V45" s="0"/>
      <c r="W45" s="0"/>
      <c r="X45" s="0"/>
      <c r="Y45" s="0"/>
    </row>
    <row r="46" customFormat="false" ht="12.8" hidden="false" customHeight="false" outlineLevel="0" collapsed="false">
      <c r="G46" s="25" t="n">
        <v>44722</v>
      </c>
      <c r="H46" s="32" t="s">
        <v>15</v>
      </c>
      <c r="I46" s="5" t="n">
        <v>50</v>
      </c>
      <c r="J46" s="54" t="s">
        <v>38</v>
      </c>
      <c r="K46" s="0"/>
      <c r="L46" s="0"/>
      <c r="U46" s="0"/>
      <c r="V46" s="0"/>
      <c r="W46" s="0"/>
      <c r="X46" s="0"/>
      <c r="Y46" s="0"/>
    </row>
    <row r="47" customFormat="false" ht="12.8" hidden="false" customHeight="false" outlineLevel="0" collapsed="false">
      <c r="G47" s="25" t="n">
        <v>44722</v>
      </c>
      <c r="H47" s="32" t="s">
        <v>15</v>
      </c>
      <c r="I47" s="5" t="n">
        <v>-49.55</v>
      </c>
      <c r="J47" s="54" t="s">
        <v>37</v>
      </c>
      <c r="K47" s="0"/>
      <c r="L47" s="0"/>
      <c r="M47" s="0"/>
      <c r="U47" s="0"/>
      <c r="V47" s="0"/>
      <c r="W47" s="0"/>
      <c r="X47" s="0"/>
      <c r="Y47" s="0"/>
    </row>
    <row r="48" customFormat="false" ht="12.8" hidden="false" customHeight="false" outlineLevel="0" collapsed="false">
      <c r="G48" s="25" t="n">
        <v>44722</v>
      </c>
      <c r="H48" s="43" t="s">
        <v>23</v>
      </c>
      <c r="I48" s="5" t="n">
        <v>1524</v>
      </c>
      <c r="J48" s="10" t="s">
        <v>42</v>
      </c>
      <c r="K48" s="0"/>
      <c r="L48" s="0"/>
      <c r="M48" s="0"/>
      <c r="U48" s="0"/>
      <c r="V48" s="0"/>
      <c r="W48" s="0"/>
      <c r="X48" s="0"/>
      <c r="Y48" s="0"/>
    </row>
    <row r="49" customFormat="false" ht="12.8" hidden="false" customHeight="false" outlineLevel="0" collapsed="false">
      <c r="G49" s="25" t="n">
        <v>44722</v>
      </c>
      <c r="H49" s="43" t="s">
        <v>23</v>
      </c>
      <c r="I49" s="5" t="n">
        <v>-5</v>
      </c>
      <c r="J49" s="10" t="s">
        <v>43</v>
      </c>
      <c r="K49" s="0"/>
      <c r="L49" s="0"/>
      <c r="M49" s="0"/>
      <c r="U49" s="0"/>
      <c r="V49" s="0"/>
      <c r="W49" s="0"/>
      <c r="X49" s="0"/>
      <c r="Y49" s="0"/>
    </row>
    <row r="50" customFormat="false" ht="12.8" hidden="false" customHeight="false" outlineLevel="0" collapsed="false">
      <c r="G50" s="25" t="n">
        <v>44723</v>
      </c>
      <c r="H50" s="43" t="s">
        <v>23</v>
      </c>
      <c r="I50" s="5" t="n">
        <v>-760</v>
      </c>
      <c r="J50" s="0" t="s">
        <v>44</v>
      </c>
      <c r="K50" s="0"/>
      <c r="L50" s="0"/>
      <c r="U50" s="0"/>
      <c r="V50" s="0"/>
      <c r="W50" s="0"/>
      <c r="X50" s="0"/>
      <c r="Y50" s="0"/>
    </row>
    <row r="51" customFormat="false" ht="12.8" hidden="false" customHeight="false" outlineLevel="0" collapsed="false">
      <c r="G51" s="25" t="n">
        <v>44723</v>
      </c>
      <c r="H51" s="43" t="s">
        <v>23</v>
      </c>
      <c r="I51" s="5" t="n">
        <v>-15</v>
      </c>
      <c r="J51" s="0" t="s">
        <v>45</v>
      </c>
      <c r="K51" s="0"/>
      <c r="L51" s="0"/>
      <c r="M51" s="0"/>
      <c r="N51" s="0"/>
      <c r="U51" s="0"/>
      <c r="V51" s="0"/>
      <c r="W51" s="0"/>
      <c r="X51" s="0"/>
      <c r="Y51" s="0"/>
    </row>
    <row r="52" customFormat="false" ht="12.8" hidden="false" customHeight="false" outlineLevel="0" collapsed="false">
      <c r="G52" s="25" t="n">
        <v>44723</v>
      </c>
      <c r="H52" s="38" t="s">
        <v>21</v>
      </c>
      <c r="I52" s="5" t="n">
        <v>15</v>
      </c>
      <c r="J52" s="55" t="s">
        <v>45</v>
      </c>
      <c r="K52" s="0"/>
      <c r="L52" s="0"/>
      <c r="M52" s="0"/>
      <c r="N52" s="0"/>
      <c r="U52" s="0"/>
      <c r="V52" s="0"/>
      <c r="W52" s="0"/>
      <c r="X52" s="0"/>
      <c r="Y52" s="0"/>
    </row>
    <row r="53" customFormat="false" ht="12.8" hidden="false" customHeight="false" outlineLevel="0" collapsed="false">
      <c r="G53" s="25" t="n">
        <v>44723</v>
      </c>
      <c r="H53" s="26" t="s">
        <v>10</v>
      </c>
      <c r="I53" s="5" t="n">
        <v>-50</v>
      </c>
      <c r="J53" s="54" t="s">
        <v>38</v>
      </c>
      <c r="K53" s="0"/>
      <c r="L53" s="0"/>
      <c r="U53" s="0"/>
      <c r="V53" s="0"/>
      <c r="W53" s="0"/>
      <c r="X53" s="0"/>
      <c r="Y53" s="0"/>
    </row>
    <row r="54" customFormat="false" ht="12.8" hidden="false" customHeight="false" outlineLevel="0" collapsed="false">
      <c r="G54" s="25" t="n">
        <v>44723</v>
      </c>
      <c r="H54" s="32" t="s">
        <v>15</v>
      </c>
      <c r="I54" s="5" t="n">
        <v>50</v>
      </c>
      <c r="J54" s="54" t="s">
        <v>38</v>
      </c>
      <c r="K54" s="0"/>
      <c r="L54" s="0"/>
      <c r="U54" s="0"/>
      <c r="V54" s="0"/>
      <c r="W54" s="0"/>
      <c r="X54" s="0"/>
      <c r="Y54" s="0"/>
    </row>
    <row r="55" customFormat="false" ht="12.8" hidden="false" customHeight="false" outlineLevel="0" collapsed="false">
      <c r="G55" s="25" t="n">
        <v>44723</v>
      </c>
      <c r="H55" s="26" t="s">
        <v>10</v>
      </c>
      <c r="I55" s="5" t="n">
        <v>-30</v>
      </c>
      <c r="J55" s="54" t="s">
        <v>38</v>
      </c>
      <c r="K55" s="0"/>
      <c r="L55" s="0"/>
      <c r="M55" s="0"/>
      <c r="N55" s="0"/>
      <c r="U55" s="0"/>
      <c r="V55" s="0"/>
      <c r="W55" s="0"/>
      <c r="X55" s="0"/>
      <c r="Y55" s="0"/>
    </row>
    <row r="56" customFormat="false" ht="12.8" hidden="false" customHeight="false" outlineLevel="0" collapsed="false">
      <c r="G56" s="25" t="n">
        <v>44723</v>
      </c>
      <c r="H56" s="32" t="s">
        <v>15</v>
      </c>
      <c r="I56" s="5" t="n">
        <v>30</v>
      </c>
      <c r="J56" s="54" t="s">
        <v>38</v>
      </c>
      <c r="K56" s="0"/>
      <c r="L56" s="0"/>
      <c r="M56" s="0"/>
      <c r="N56" s="0"/>
      <c r="U56" s="0"/>
      <c r="V56" s="0"/>
      <c r="W56" s="0"/>
      <c r="X56" s="0"/>
      <c r="Y56" s="0"/>
    </row>
    <row r="57" customFormat="false" ht="12.8" hidden="false" customHeight="false" outlineLevel="0" collapsed="false">
      <c r="G57" s="25" t="n">
        <v>44723</v>
      </c>
      <c r="H57" s="32" t="s">
        <v>15</v>
      </c>
      <c r="I57" s="5" t="n">
        <f aca="false">-49.08-3.99</f>
        <v>-53.07</v>
      </c>
      <c r="J57" s="54" t="s">
        <v>37</v>
      </c>
      <c r="K57" s="0"/>
      <c r="L57" s="0"/>
      <c r="U57" s="0"/>
      <c r="V57" s="0"/>
      <c r="W57" s="0"/>
      <c r="X57" s="0"/>
      <c r="Y57" s="0"/>
    </row>
    <row r="58" customFormat="false" ht="12.8" hidden="false" customHeight="false" outlineLevel="0" collapsed="false">
      <c r="G58" s="25" t="n">
        <v>44723</v>
      </c>
      <c r="H58" s="32" t="s">
        <v>15</v>
      </c>
      <c r="I58" s="5" t="n">
        <v>-30</v>
      </c>
      <c r="J58" s="54" t="s">
        <v>46</v>
      </c>
      <c r="K58" s="0"/>
      <c r="L58" s="0"/>
      <c r="U58" s="0"/>
      <c r="V58" s="0"/>
      <c r="W58" s="0"/>
      <c r="X58" s="0"/>
      <c r="Y58" s="0"/>
    </row>
    <row r="59" customFormat="false" ht="12.8" hidden="false" customHeight="false" outlineLevel="0" collapsed="false">
      <c r="G59" s="25" t="n">
        <v>44724</v>
      </c>
      <c r="H59" s="43" t="s">
        <v>23</v>
      </c>
      <c r="I59" s="5" t="n">
        <v>-128.79</v>
      </c>
      <c r="J59" s="0" t="s">
        <v>47</v>
      </c>
      <c r="K59" s="0"/>
      <c r="L59" s="0"/>
      <c r="U59" s="0"/>
      <c r="V59" s="0"/>
      <c r="W59" s="0"/>
      <c r="X59" s="0"/>
      <c r="Y59" s="0"/>
    </row>
    <row r="60" customFormat="false" ht="12.8" hidden="false" customHeight="false" outlineLevel="0" collapsed="false">
      <c r="G60" s="25" t="n">
        <v>44724</v>
      </c>
      <c r="H60" s="43" t="s">
        <v>23</v>
      </c>
      <c r="I60" s="5" t="n">
        <v>-65.55</v>
      </c>
      <c r="J60" s="0" t="s">
        <v>48</v>
      </c>
      <c r="K60" s="0"/>
      <c r="L60" s="0"/>
      <c r="U60" s="0"/>
      <c r="V60" s="0"/>
      <c r="W60" s="0"/>
      <c r="X60" s="0"/>
      <c r="Y60" s="0"/>
    </row>
    <row r="61" customFormat="false" ht="12.8" hidden="false" customHeight="false" outlineLevel="0" collapsed="false">
      <c r="G61" s="25" t="n">
        <v>44724</v>
      </c>
      <c r="H61" s="26" t="s">
        <v>10</v>
      </c>
      <c r="I61" s="5" t="n">
        <v>-52</v>
      </c>
      <c r="J61" s="54" t="s">
        <v>38</v>
      </c>
      <c r="K61" s="0"/>
      <c r="L61" s="0"/>
      <c r="U61" s="0"/>
      <c r="V61" s="0"/>
      <c r="W61" s="0"/>
      <c r="X61" s="0"/>
      <c r="Y61" s="0"/>
    </row>
    <row r="62" customFormat="false" ht="12.8" hidden="false" customHeight="false" outlineLevel="0" collapsed="false">
      <c r="G62" s="25" t="n">
        <v>44724</v>
      </c>
      <c r="H62" s="32" t="s">
        <v>15</v>
      </c>
      <c r="I62" s="5" t="n">
        <v>52</v>
      </c>
      <c r="J62" s="54" t="s">
        <v>38</v>
      </c>
      <c r="K62" s="0"/>
      <c r="L62" s="0"/>
      <c r="U62" s="0"/>
      <c r="V62" s="0"/>
      <c r="W62" s="0"/>
      <c r="X62" s="0"/>
      <c r="Y62" s="0"/>
    </row>
    <row r="63" customFormat="false" ht="12.8" hidden="false" customHeight="false" outlineLevel="0" collapsed="false">
      <c r="G63" s="25" t="n">
        <v>44724</v>
      </c>
      <c r="H63" s="32" t="s">
        <v>15</v>
      </c>
      <c r="I63" s="5" t="n">
        <v>-50.97</v>
      </c>
      <c r="J63" s="54" t="s">
        <v>37</v>
      </c>
      <c r="K63" s="0"/>
      <c r="L63" s="0"/>
      <c r="U63" s="0"/>
      <c r="V63" s="0"/>
      <c r="W63" s="0"/>
      <c r="X63" s="0"/>
      <c r="Y63" s="0"/>
    </row>
    <row r="64" customFormat="false" ht="12.8" hidden="false" customHeight="false" outlineLevel="0" collapsed="false">
      <c r="G64" s="25" t="n">
        <v>44724</v>
      </c>
      <c r="H64" s="26" t="s">
        <v>10</v>
      </c>
      <c r="I64" s="5" t="n">
        <v>-30</v>
      </c>
      <c r="J64" s="54" t="s">
        <v>38</v>
      </c>
      <c r="K64" s="0"/>
      <c r="L64" s="0"/>
      <c r="U64" s="0"/>
      <c r="V64" s="0"/>
      <c r="W64" s="0"/>
      <c r="X64" s="0"/>
      <c r="Y64" s="0"/>
    </row>
    <row r="65" customFormat="false" ht="12.8" hidden="false" customHeight="false" outlineLevel="0" collapsed="false">
      <c r="G65" s="25" t="n">
        <v>44724</v>
      </c>
      <c r="H65" s="32" t="s">
        <v>15</v>
      </c>
      <c r="I65" s="5" t="n">
        <v>30</v>
      </c>
      <c r="J65" s="54" t="s">
        <v>38</v>
      </c>
      <c r="K65" s="0"/>
      <c r="L65" s="0"/>
      <c r="U65" s="0"/>
      <c r="V65" s="0"/>
      <c r="W65" s="0"/>
      <c r="X65" s="0"/>
      <c r="Y65" s="0"/>
    </row>
    <row r="66" customFormat="false" ht="12.8" hidden="false" customHeight="false" outlineLevel="0" collapsed="false">
      <c r="G66" s="25" t="n">
        <v>44724</v>
      </c>
      <c r="H66" s="32" t="s">
        <v>15</v>
      </c>
      <c r="I66" s="5" t="n">
        <v>-30.86</v>
      </c>
      <c r="J66" s="54" t="s">
        <v>37</v>
      </c>
      <c r="K66" s="0"/>
      <c r="L66" s="0"/>
      <c r="U66" s="0"/>
      <c r="V66" s="0"/>
      <c r="W66" s="0"/>
      <c r="X66" s="0"/>
      <c r="Y66" s="0"/>
    </row>
    <row r="67" customFormat="false" ht="12.8" hidden="false" customHeight="false" outlineLevel="0" collapsed="false">
      <c r="G67" s="25" t="n">
        <v>44724</v>
      </c>
      <c r="H67" s="43" t="s">
        <v>23</v>
      </c>
      <c r="I67" s="5" t="n">
        <v>-33.77</v>
      </c>
      <c r="J67" s="10" t="s">
        <v>37</v>
      </c>
      <c r="K67" s="0"/>
      <c r="L67" s="0"/>
      <c r="U67" s="0"/>
      <c r="V67" s="0"/>
      <c r="W67" s="0"/>
      <c r="X67" s="0"/>
      <c r="Y67" s="0"/>
    </row>
    <row r="68" customFormat="false" ht="12.8" hidden="false" customHeight="false" outlineLevel="0" collapsed="false">
      <c r="G68" s="25" t="n">
        <v>44725</v>
      </c>
      <c r="H68" s="26" t="s">
        <v>10</v>
      </c>
      <c r="I68" s="5" t="n">
        <v>-52</v>
      </c>
      <c r="J68" s="54" t="s">
        <v>38</v>
      </c>
      <c r="K68" s="0"/>
      <c r="L68" s="0"/>
      <c r="U68" s="0"/>
      <c r="V68" s="0"/>
      <c r="W68" s="0"/>
      <c r="X68" s="0"/>
      <c r="Y68" s="0"/>
    </row>
    <row r="69" customFormat="false" ht="12.8" hidden="false" customHeight="false" outlineLevel="0" collapsed="false">
      <c r="G69" s="25" t="n">
        <v>44725</v>
      </c>
      <c r="H69" s="32" t="s">
        <v>15</v>
      </c>
      <c r="I69" s="5" t="n">
        <v>52</v>
      </c>
      <c r="J69" s="54" t="s">
        <v>38</v>
      </c>
      <c r="K69" s="0"/>
      <c r="L69" s="0"/>
      <c r="U69" s="0"/>
      <c r="V69" s="0"/>
      <c r="W69" s="0"/>
      <c r="X69" s="0"/>
      <c r="Y69" s="0"/>
    </row>
    <row r="70" customFormat="false" ht="12.8" hidden="false" customHeight="false" outlineLevel="0" collapsed="false">
      <c r="G70" s="25" t="n">
        <v>44725</v>
      </c>
      <c r="H70" s="32" t="s">
        <v>15</v>
      </c>
      <c r="I70" s="5" t="n">
        <f aca="false">5.95-55.92</f>
        <v>-49.97</v>
      </c>
      <c r="J70" s="54" t="s">
        <v>37</v>
      </c>
      <c r="K70" s="0"/>
      <c r="L70" s="0"/>
      <c r="U70" s="0"/>
      <c r="V70" s="0"/>
      <c r="W70" s="0"/>
      <c r="X70" s="0"/>
      <c r="Y70" s="0"/>
    </row>
    <row r="71" customFormat="false" ht="12.8" hidden="false" customHeight="false" outlineLevel="0" collapsed="false">
      <c r="G71" s="25" t="n">
        <v>44725</v>
      </c>
      <c r="H71" s="43" t="s">
        <v>23</v>
      </c>
      <c r="I71" s="5" t="n">
        <v>-44</v>
      </c>
      <c r="J71" s="10" t="s">
        <v>37</v>
      </c>
      <c r="K71" s="0"/>
      <c r="L71" s="0"/>
      <c r="U71" s="0"/>
      <c r="V71" s="0"/>
      <c r="W71" s="0"/>
      <c r="X71" s="0"/>
      <c r="Y71" s="0"/>
    </row>
    <row r="72" customFormat="false" ht="12.8" hidden="false" customHeight="false" outlineLevel="0" collapsed="false">
      <c r="G72" s="25" t="n">
        <v>44726</v>
      </c>
      <c r="H72" s="26" t="s">
        <v>10</v>
      </c>
      <c r="I72" s="5" t="n">
        <v>-50</v>
      </c>
      <c r="J72" s="54" t="s">
        <v>38</v>
      </c>
      <c r="K72" s="0"/>
      <c r="L72" s="0"/>
      <c r="U72" s="0"/>
      <c r="V72" s="0"/>
      <c r="W72" s="0"/>
      <c r="X72" s="0"/>
      <c r="Y72" s="0"/>
    </row>
    <row r="73" customFormat="false" ht="12.8" hidden="false" customHeight="false" outlineLevel="0" collapsed="false">
      <c r="G73" s="25" t="n">
        <v>44726</v>
      </c>
      <c r="H73" s="32" t="s">
        <v>15</v>
      </c>
      <c r="I73" s="5" t="n">
        <v>50</v>
      </c>
      <c r="J73" s="54" t="s">
        <v>38</v>
      </c>
      <c r="K73" s="0"/>
      <c r="L73" s="0"/>
      <c r="U73" s="0"/>
      <c r="V73" s="0"/>
      <c r="W73" s="0"/>
      <c r="X73" s="0"/>
      <c r="Y73" s="0"/>
    </row>
    <row r="74" customFormat="false" ht="12.8" hidden="false" customHeight="false" outlineLevel="0" collapsed="false">
      <c r="G74" s="25" t="n">
        <v>44726</v>
      </c>
      <c r="H74" s="32" t="s">
        <v>15</v>
      </c>
      <c r="I74" s="5" t="n">
        <f aca="false">2.11-55.95</f>
        <v>-53.84</v>
      </c>
      <c r="J74" s="54" t="s">
        <v>37</v>
      </c>
      <c r="K74" s="0"/>
      <c r="L74" s="0"/>
      <c r="U74" s="0"/>
      <c r="V74" s="0"/>
      <c r="W74" s="0"/>
      <c r="X74" s="0"/>
      <c r="Y74" s="0"/>
    </row>
    <row r="75" customFormat="false" ht="12.8" hidden="false" customHeight="false" outlineLevel="0" collapsed="false">
      <c r="G75" s="25" t="n">
        <v>44726</v>
      </c>
      <c r="H75" s="43" t="s">
        <v>23</v>
      </c>
      <c r="I75" s="5" t="n">
        <v>-35.75</v>
      </c>
      <c r="J75" s="10" t="s">
        <v>37</v>
      </c>
      <c r="K75" s="0"/>
      <c r="L75" s="0"/>
      <c r="U75" s="0"/>
      <c r="V75" s="0"/>
      <c r="W75" s="0"/>
      <c r="X75" s="0"/>
      <c r="Y75" s="0"/>
    </row>
    <row r="76" customFormat="false" ht="12.8" hidden="false" customHeight="false" outlineLevel="0" collapsed="false">
      <c r="G76" s="25" t="n">
        <v>44727</v>
      </c>
      <c r="H76" s="43" t="s">
        <v>23</v>
      </c>
      <c r="I76" s="5" t="n">
        <f aca="false">393.4-444.15</f>
        <v>-50.75</v>
      </c>
      <c r="J76" s="10" t="s">
        <v>37</v>
      </c>
      <c r="K76" s="0"/>
      <c r="L76" s="0"/>
      <c r="U76" s="0"/>
      <c r="V76" s="0"/>
      <c r="W76" s="0"/>
      <c r="X76" s="0"/>
      <c r="Y76" s="0"/>
    </row>
    <row r="77" customFormat="false" ht="12.8" hidden="false" customHeight="false" outlineLevel="0" collapsed="false">
      <c r="G77" s="25" t="n">
        <v>44727</v>
      </c>
      <c r="H77" s="43" t="s">
        <v>23</v>
      </c>
      <c r="I77" s="5" t="n">
        <v>-23</v>
      </c>
      <c r="J77" s="10" t="s">
        <v>37</v>
      </c>
      <c r="K77" s="0"/>
      <c r="L77" s="0"/>
      <c r="U77" s="0"/>
      <c r="V77" s="0"/>
      <c r="W77" s="0"/>
      <c r="X77" s="0"/>
      <c r="Y77" s="0"/>
    </row>
    <row r="78" customFormat="false" ht="12.8" hidden="false" customHeight="false" outlineLevel="0" collapsed="false">
      <c r="G78" s="25" t="n">
        <v>44727</v>
      </c>
      <c r="H78" s="43" t="s">
        <v>23</v>
      </c>
      <c r="I78" s="5" t="n">
        <v>526</v>
      </c>
      <c r="J78" s="10" t="s">
        <v>49</v>
      </c>
      <c r="K78" s="0"/>
      <c r="L78" s="0"/>
      <c r="U78" s="0"/>
      <c r="V78" s="0"/>
      <c r="W78" s="0"/>
      <c r="X78" s="0"/>
      <c r="Y78" s="0"/>
    </row>
    <row r="79" customFormat="false" ht="12.8" hidden="false" customHeight="false" outlineLevel="0" collapsed="false">
      <c r="G79" s="25" t="n">
        <v>44727</v>
      </c>
      <c r="H79" s="26" t="s">
        <v>10</v>
      </c>
      <c r="I79" s="5" t="n">
        <v>-500</v>
      </c>
      <c r="J79" s="54" t="s">
        <v>38</v>
      </c>
      <c r="K79" s="0"/>
      <c r="L79" s="0"/>
      <c r="U79" s="0"/>
      <c r="V79" s="0"/>
      <c r="W79" s="0"/>
      <c r="X79" s="0"/>
      <c r="Y79" s="0"/>
    </row>
    <row r="80" customFormat="false" ht="12.8" hidden="false" customHeight="false" outlineLevel="0" collapsed="false">
      <c r="G80" s="25" t="n">
        <v>44727</v>
      </c>
      <c r="H80" s="32" t="s">
        <v>15</v>
      </c>
      <c r="I80" s="5" t="n">
        <v>500</v>
      </c>
      <c r="J80" s="54" t="s">
        <v>38</v>
      </c>
      <c r="K80" s="0"/>
      <c r="L80" s="0"/>
      <c r="U80" s="0"/>
      <c r="V80" s="0"/>
      <c r="W80" s="0"/>
      <c r="X80" s="0"/>
      <c r="Y80" s="0"/>
    </row>
    <row r="81" customFormat="false" ht="12.8" hidden="false" customHeight="false" outlineLevel="0" collapsed="false">
      <c r="G81" s="25" t="n">
        <v>44727</v>
      </c>
      <c r="H81" s="32" t="s">
        <v>15</v>
      </c>
      <c r="I81" s="5" t="n">
        <v>-500</v>
      </c>
      <c r="J81" s="0" t="s">
        <v>50</v>
      </c>
      <c r="K81" s="0"/>
      <c r="L81" s="0"/>
      <c r="U81" s="0"/>
      <c r="V81" s="0"/>
      <c r="W81" s="0"/>
      <c r="X81" s="0"/>
      <c r="Y81" s="0"/>
    </row>
    <row r="82" customFormat="false" ht="12.8" hidden="false" customHeight="false" outlineLevel="0" collapsed="false">
      <c r="G82" s="25" t="n">
        <v>44727</v>
      </c>
      <c r="H82" s="48" t="s">
        <v>26</v>
      </c>
      <c r="I82" s="5" t="n">
        <v>500</v>
      </c>
      <c r="J82" s="0" t="s">
        <v>50</v>
      </c>
      <c r="K82" s="0"/>
      <c r="L82" s="0"/>
      <c r="U82" s="0"/>
      <c r="V82" s="0"/>
      <c r="W82" s="0"/>
      <c r="X82" s="0"/>
      <c r="Y82" s="0"/>
    </row>
    <row r="83" customFormat="false" ht="12.8" hidden="false" customHeight="false" outlineLevel="0" collapsed="false">
      <c r="G83" s="25" t="n">
        <v>44728</v>
      </c>
      <c r="H83" s="48" t="s">
        <v>26</v>
      </c>
      <c r="I83" s="5" t="n">
        <v>-440</v>
      </c>
      <c r="J83" s="0" t="s">
        <v>51</v>
      </c>
      <c r="K83" s="0"/>
      <c r="L83" s="0"/>
      <c r="U83" s="0"/>
      <c r="V83" s="0"/>
      <c r="W83" s="0"/>
      <c r="X83" s="0"/>
      <c r="Y83" s="0"/>
    </row>
    <row r="84" customFormat="false" ht="12.8" hidden="false" customHeight="false" outlineLevel="0" collapsed="false">
      <c r="G84" s="25" t="n">
        <v>44728</v>
      </c>
      <c r="H84" s="52" t="s">
        <v>14</v>
      </c>
      <c r="I84" s="5" t="n">
        <v>440</v>
      </c>
      <c r="J84" s="55" t="s">
        <v>51</v>
      </c>
      <c r="K84" s="0"/>
      <c r="L84" s="0"/>
      <c r="U84" s="0"/>
      <c r="V84" s="0"/>
      <c r="W84" s="0"/>
      <c r="X84" s="0"/>
      <c r="Y84" s="0"/>
    </row>
    <row r="85" customFormat="false" ht="12.8" hidden="false" customHeight="false" outlineLevel="0" collapsed="false">
      <c r="G85" s="25" t="n">
        <v>44728</v>
      </c>
      <c r="H85" s="52" t="s">
        <v>14</v>
      </c>
      <c r="I85" s="5" t="n">
        <v>0.9</v>
      </c>
      <c r="J85" s="0" t="s">
        <v>40</v>
      </c>
      <c r="K85" s="0"/>
      <c r="L85" s="0"/>
      <c r="U85" s="0"/>
      <c r="V85" s="0"/>
      <c r="W85" s="0"/>
      <c r="X85" s="0"/>
      <c r="Y85" s="0"/>
    </row>
    <row r="86" customFormat="false" ht="12.8" hidden="false" customHeight="false" outlineLevel="0" collapsed="false">
      <c r="G86" s="25" t="n">
        <v>44728</v>
      </c>
      <c r="H86" s="43" t="s">
        <v>23</v>
      </c>
      <c r="I86" s="5" t="n">
        <v>-49.43</v>
      </c>
      <c r="J86" s="10" t="s">
        <v>37</v>
      </c>
      <c r="K86" s="0"/>
      <c r="L86" s="0"/>
      <c r="U86" s="0"/>
      <c r="V86" s="0"/>
      <c r="W86" s="0"/>
      <c r="X86" s="0"/>
      <c r="Y86" s="0"/>
    </row>
    <row r="87" customFormat="false" ht="12.8" hidden="false" customHeight="false" outlineLevel="0" collapsed="false">
      <c r="G87" s="25" t="n">
        <v>44728</v>
      </c>
      <c r="H87" s="43" t="s">
        <v>23</v>
      </c>
      <c r="I87" s="5" t="n">
        <v>-34.74</v>
      </c>
      <c r="J87" s="10" t="s">
        <v>37</v>
      </c>
      <c r="K87" s="0"/>
      <c r="L87" s="0"/>
      <c r="U87" s="0"/>
      <c r="V87" s="0"/>
      <c r="W87" s="0"/>
      <c r="X87" s="0"/>
      <c r="Y87" s="0"/>
    </row>
    <row r="88" customFormat="false" ht="12.8" hidden="false" customHeight="false" outlineLevel="0" collapsed="false">
      <c r="G88" s="25" t="n">
        <v>44728</v>
      </c>
      <c r="H88" s="43" t="s">
        <v>23</v>
      </c>
      <c r="I88" s="5" t="n">
        <v>-263.06</v>
      </c>
      <c r="J88" s="0" t="s">
        <v>52</v>
      </c>
      <c r="K88" s="0"/>
      <c r="L88" s="0"/>
      <c r="U88" s="0"/>
      <c r="V88" s="0"/>
      <c r="W88" s="0"/>
      <c r="X88" s="0"/>
      <c r="Y88" s="0"/>
    </row>
    <row r="89" customFormat="false" ht="12.8" hidden="false" customHeight="false" outlineLevel="0" collapsed="false">
      <c r="G89" s="25" t="n">
        <v>44729</v>
      </c>
      <c r="H89" s="43" t="s">
        <v>23</v>
      </c>
      <c r="I89" s="5" t="n">
        <v>-49.75</v>
      </c>
      <c r="J89" s="10" t="s">
        <v>37</v>
      </c>
      <c r="K89" s="0"/>
      <c r="L89" s="0"/>
      <c r="U89" s="0"/>
      <c r="V89" s="0"/>
      <c r="W89" s="0"/>
      <c r="X89" s="0"/>
      <c r="Y89" s="0"/>
    </row>
    <row r="90" customFormat="false" ht="12.8" hidden="false" customHeight="false" outlineLevel="0" collapsed="false">
      <c r="G90" s="25" t="n">
        <v>44729</v>
      </c>
      <c r="H90" s="43" t="s">
        <v>23</v>
      </c>
      <c r="I90" s="5" t="n">
        <v>-8.72</v>
      </c>
      <c r="J90" s="10" t="s">
        <v>37</v>
      </c>
      <c r="K90" s="0"/>
      <c r="L90" s="0"/>
      <c r="U90" s="0"/>
      <c r="V90" s="0"/>
      <c r="W90" s="0"/>
      <c r="X90" s="0"/>
      <c r="Y90" s="0"/>
    </row>
    <row r="91" customFormat="false" ht="12.8" hidden="false" customHeight="false" outlineLevel="0" collapsed="false">
      <c r="G91" s="25" t="n">
        <v>44730</v>
      </c>
      <c r="H91" s="43" t="s">
        <v>23</v>
      </c>
      <c r="I91" s="5" t="n">
        <v>-52.22</v>
      </c>
      <c r="J91" s="10" t="s">
        <v>37</v>
      </c>
      <c r="K91" s="0"/>
      <c r="L91" s="0"/>
      <c r="U91" s="0"/>
      <c r="V91" s="0"/>
      <c r="W91" s="0"/>
      <c r="X91" s="0"/>
      <c r="Y91" s="0"/>
    </row>
    <row r="92" customFormat="false" ht="12.8" hidden="false" customHeight="false" outlineLevel="0" collapsed="false">
      <c r="G92" s="25" t="n">
        <v>44730</v>
      </c>
      <c r="H92" s="43" t="s">
        <v>23</v>
      </c>
      <c r="I92" s="5" t="n">
        <f aca="false">-22.34-6.99</f>
        <v>-29.33</v>
      </c>
      <c r="J92" s="10" t="s">
        <v>37</v>
      </c>
      <c r="K92" s="0"/>
      <c r="L92" s="0"/>
      <c r="U92" s="0"/>
      <c r="V92" s="0"/>
      <c r="W92" s="0"/>
      <c r="X92" s="0"/>
      <c r="Y92" s="0"/>
    </row>
    <row r="93" customFormat="false" ht="12.8" hidden="false" customHeight="false" outlineLevel="0" collapsed="false">
      <c r="G93" s="25" t="n">
        <v>44730</v>
      </c>
      <c r="H93" s="43" t="s">
        <v>23</v>
      </c>
      <c r="I93" s="5" t="n">
        <v>-51.17</v>
      </c>
      <c r="J93" s="10" t="s">
        <v>37</v>
      </c>
      <c r="K93" s="0"/>
      <c r="L93" s="0"/>
      <c r="U93" s="0"/>
      <c r="V93" s="0"/>
      <c r="W93" s="0"/>
      <c r="X93" s="0"/>
      <c r="Y93" s="0"/>
    </row>
    <row r="94" customFormat="false" ht="12.8" hidden="false" customHeight="false" outlineLevel="0" collapsed="false">
      <c r="G94" s="25" t="n">
        <v>44731</v>
      </c>
      <c r="H94" s="43" t="s">
        <v>23</v>
      </c>
      <c r="I94" s="5" t="n">
        <v>-61.68</v>
      </c>
      <c r="J94" s="10" t="s">
        <v>37</v>
      </c>
      <c r="K94" s="0"/>
      <c r="L94" s="5"/>
      <c r="U94" s="0"/>
      <c r="V94" s="0"/>
      <c r="W94" s="0"/>
      <c r="X94" s="0"/>
      <c r="Y94" s="0"/>
    </row>
    <row r="95" customFormat="false" ht="12.8" hidden="false" customHeight="false" outlineLevel="0" collapsed="false">
      <c r="G95" s="25" t="n">
        <v>44732</v>
      </c>
      <c r="H95" s="43" t="s">
        <v>23</v>
      </c>
      <c r="I95" s="5" t="n">
        <v>-50.48</v>
      </c>
      <c r="J95" s="10" t="s">
        <v>37</v>
      </c>
      <c r="K95" s="0"/>
      <c r="L95" s="5"/>
      <c r="U95" s="0"/>
      <c r="V95" s="0"/>
      <c r="W95" s="0"/>
      <c r="X95" s="0"/>
      <c r="Y95" s="0"/>
    </row>
    <row r="96" customFormat="false" ht="12.8" hidden="false" customHeight="false" outlineLevel="0" collapsed="false">
      <c r="G96" s="25" t="n">
        <v>44732</v>
      </c>
      <c r="H96" s="43" t="s">
        <v>23</v>
      </c>
      <c r="I96" s="5" t="n">
        <v>-20.28</v>
      </c>
      <c r="J96" s="10" t="s">
        <v>37</v>
      </c>
      <c r="K96" s="0"/>
      <c r="L96" s="5"/>
      <c r="U96" s="0"/>
      <c r="V96" s="0"/>
      <c r="W96" s="0"/>
      <c r="X96" s="0"/>
      <c r="Y96" s="0"/>
    </row>
    <row r="97" customFormat="false" ht="12.8" hidden="false" customHeight="false" outlineLevel="0" collapsed="false">
      <c r="G97" s="25" t="n">
        <v>44733</v>
      </c>
      <c r="H97" s="43" t="s">
        <v>23</v>
      </c>
      <c r="I97" s="5" t="n">
        <v>-85.3</v>
      </c>
      <c r="J97" s="0" t="s">
        <v>53</v>
      </c>
      <c r="K97" s="5"/>
      <c r="L97" s="0"/>
      <c r="U97" s="0"/>
      <c r="V97" s="0"/>
      <c r="W97" s="0"/>
      <c r="X97" s="0"/>
      <c r="Y97" s="0"/>
    </row>
    <row r="98" customFormat="false" ht="12.8" hidden="false" customHeight="false" outlineLevel="0" collapsed="false">
      <c r="G98" s="25" t="n">
        <v>44733</v>
      </c>
      <c r="H98" s="43" t="s">
        <v>23</v>
      </c>
      <c r="I98" s="5" t="n">
        <v>-52.6</v>
      </c>
      <c r="J98" s="10" t="s">
        <v>37</v>
      </c>
      <c r="K98" s="0"/>
      <c r="L98" s="5"/>
      <c r="U98" s="0"/>
      <c r="V98" s="0"/>
      <c r="W98" s="0"/>
      <c r="X98" s="0"/>
      <c r="Y98" s="0"/>
    </row>
    <row r="99" customFormat="false" ht="12.8" hidden="false" customHeight="false" outlineLevel="0" collapsed="false">
      <c r="G99" s="25" t="n">
        <v>44733</v>
      </c>
      <c r="H99" s="43" t="s">
        <v>23</v>
      </c>
      <c r="I99" s="5" t="n">
        <v>-25.6</v>
      </c>
      <c r="J99" s="10" t="s">
        <v>37</v>
      </c>
      <c r="K99" s="0"/>
      <c r="L99" s="0"/>
      <c r="U99" s="0"/>
      <c r="V99" s="0"/>
      <c r="W99" s="0"/>
      <c r="X99" s="0"/>
      <c r="Y99" s="0"/>
    </row>
    <row r="100" customFormat="false" ht="12.8" hidden="false" customHeight="false" outlineLevel="0" collapsed="false">
      <c r="G100" s="25" t="n">
        <v>44734</v>
      </c>
      <c r="H100" s="43" t="s">
        <v>23</v>
      </c>
      <c r="I100" s="5" t="n">
        <v>-47.18</v>
      </c>
      <c r="J100" s="10" t="s">
        <v>37</v>
      </c>
      <c r="K100" s="0"/>
      <c r="L100" s="56"/>
      <c r="U100" s="0"/>
      <c r="V100" s="0"/>
      <c r="W100" s="0"/>
      <c r="X100" s="0"/>
      <c r="Y100" s="0"/>
    </row>
    <row r="101" customFormat="false" ht="12.8" hidden="false" customHeight="false" outlineLevel="0" collapsed="false">
      <c r="G101" s="25" t="n">
        <v>44734</v>
      </c>
      <c r="H101" s="26" t="s">
        <v>10</v>
      </c>
      <c r="I101" s="5" t="n">
        <v>-30</v>
      </c>
      <c r="J101" s="54" t="s">
        <v>38</v>
      </c>
      <c r="K101" s="0"/>
      <c r="L101" s="0"/>
      <c r="U101" s="0"/>
      <c r="V101" s="0"/>
      <c r="W101" s="0"/>
      <c r="X101" s="0"/>
      <c r="Y101" s="0"/>
    </row>
    <row r="102" customFormat="false" ht="12.8" hidden="false" customHeight="false" outlineLevel="0" collapsed="false">
      <c r="G102" s="25" t="n">
        <v>44734</v>
      </c>
      <c r="H102" s="32" t="s">
        <v>15</v>
      </c>
      <c r="I102" s="5" t="n">
        <v>30</v>
      </c>
      <c r="J102" s="54" t="s">
        <v>38</v>
      </c>
      <c r="K102" s="0"/>
      <c r="L102" s="0"/>
      <c r="U102" s="0"/>
      <c r="V102" s="0"/>
      <c r="W102" s="0"/>
      <c r="X102" s="0"/>
      <c r="Y102" s="0"/>
    </row>
    <row r="103" customFormat="false" ht="12.8" hidden="false" customHeight="false" outlineLevel="0" collapsed="false">
      <c r="G103" s="25" t="n">
        <v>44734</v>
      </c>
      <c r="H103" s="32" t="s">
        <v>15</v>
      </c>
      <c r="I103" s="5" t="n">
        <v>-28.04</v>
      </c>
      <c r="J103" s="54" t="s">
        <v>37</v>
      </c>
      <c r="K103" s="0"/>
      <c r="L103" s="0"/>
      <c r="U103" s="0"/>
      <c r="V103" s="0"/>
      <c r="W103" s="0"/>
      <c r="X103" s="0"/>
      <c r="Y103" s="0"/>
    </row>
    <row r="104" customFormat="false" ht="12.8" hidden="false" customHeight="false" outlineLevel="0" collapsed="false">
      <c r="G104" s="25" t="n">
        <v>44735</v>
      </c>
      <c r="H104" s="26" t="s">
        <v>10</v>
      </c>
      <c r="I104" s="5" t="n">
        <v>-73</v>
      </c>
      <c r="J104" s="54" t="s">
        <v>38</v>
      </c>
      <c r="K104" s="5"/>
      <c r="L104" s="0"/>
      <c r="U104" s="0"/>
      <c r="V104" s="0"/>
      <c r="W104" s="0"/>
      <c r="X104" s="0"/>
      <c r="Y104" s="0"/>
    </row>
    <row r="105" customFormat="false" ht="12.8" hidden="false" customHeight="false" outlineLevel="0" collapsed="false">
      <c r="G105" s="25" t="n">
        <v>44735</v>
      </c>
      <c r="H105" s="32" t="s">
        <v>15</v>
      </c>
      <c r="I105" s="5" t="n">
        <v>73</v>
      </c>
      <c r="J105" s="54" t="s">
        <v>38</v>
      </c>
      <c r="K105" s="5"/>
      <c r="L105" s="0"/>
      <c r="U105" s="0"/>
      <c r="V105" s="0"/>
      <c r="W105" s="0"/>
      <c r="X105" s="0"/>
      <c r="Y105" s="0"/>
    </row>
    <row r="106" customFormat="false" ht="12.8" hidden="false" customHeight="false" outlineLevel="0" collapsed="false">
      <c r="G106" s="25" t="n">
        <v>44735</v>
      </c>
      <c r="H106" s="32" t="s">
        <v>15</v>
      </c>
      <c r="I106" s="5" t="n">
        <f aca="false">-50.75-2.92</f>
        <v>-53.67</v>
      </c>
      <c r="J106" s="54" t="s">
        <v>37</v>
      </c>
      <c r="K106" s="0"/>
      <c r="L106" s="0"/>
      <c r="U106" s="0"/>
      <c r="V106" s="0"/>
      <c r="W106" s="0"/>
      <c r="X106" s="0"/>
      <c r="Y106" s="0"/>
    </row>
    <row r="107" customFormat="false" ht="12.8" hidden="false" customHeight="false" outlineLevel="0" collapsed="false">
      <c r="G107" s="25" t="n">
        <v>44735</v>
      </c>
      <c r="H107" s="26" t="s">
        <v>10</v>
      </c>
      <c r="I107" s="5" t="n">
        <v>-30</v>
      </c>
      <c r="J107" s="54" t="s">
        <v>38</v>
      </c>
      <c r="K107" s="0"/>
      <c r="L107" s="0"/>
      <c r="U107" s="0"/>
      <c r="V107" s="0"/>
      <c r="W107" s="0"/>
      <c r="X107" s="0"/>
      <c r="Y107" s="0"/>
    </row>
    <row r="108" customFormat="false" ht="12.8" hidden="false" customHeight="false" outlineLevel="0" collapsed="false">
      <c r="G108" s="25" t="n">
        <v>44735</v>
      </c>
      <c r="H108" s="32" t="s">
        <v>15</v>
      </c>
      <c r="I108" s="5" t="n">
        <v>30</v>
      </c>
      <c r="J108" s="54" t="s">
        <v>38</v>
      </c>
      <c r="K108" s="0"/>
      <c r="L108" s="0"/>
      <c r="U108" s="0"/>
      <c r="V108" s="0"/>
      <c r="W108" s="0"/>
      <c r="X108" s="0"/>
      <c r="Y108" s="0"/>
    </row>
    <row r="109" customFormat="false" ht="12.8" hidden="false" customHeight="false" outlineLevel="0" collapsed="false">
      <c r="G109" s="25" t="n">
        <v>44735</v>
      </c>
      <c r="H109" s="32" t="s">
        <v>15</v>
      </c>
      <c r="I109" s="5" t="n">
        <v>-30.16</v>
      </c>
      <c r="J109" s="54" t="s">
        <v>37</v>
      </c>
      <c r="K109" s="0"/>
      <c r="L109" s="0"/>
      <c r="U109" s="0"/>
      <c r="V109" s="0"/>
      <c r="W109" s="0"/>
      <c r="X109" s="0"/>
      <c r="Y109" s="0"/>
    </row>
    <row r="110" customFormat="false" ht="12.8" hidden="false" customHeight="false" outlineLevel="0" collapsed="false">
      <c r="G110" s="25" t="n">
        <v>44735</v>
      </c>
      <c r="H110" s="26" t="s">
        <v>10</v>
      </c>
      <c r="I110" s="5" t="n">
        <v>-30</v>
      </c>
      <c r="J110" s="54" t="s">
        <v>38</v>
      </c>
      <c r="K110" s="0"/>
      <c r="L110" s="0"/>
      <c r="U110" s="0"/>
      <c r="V110" s="0"/>
      <c r="W110" s="0"/>
      <c r="X110" s="0"/>
      <c r="Y110" s="0"/>
    </row>
    <row r="111" customFormat="false" ht="12.8" hidden="false" customHeight="false" outlineLevel="0" collapsed="false">
      <c r="G111" s="25" t="n">
        <v>44735</v>
      </c>
      <c r="H111" s="32" t="s">
        <v>15</v>
      </c>
      <c r="I111" s="5" t="n">
        <v>30</v>
      </c>
      <c r="J111" s="54" t="s">
        <v>38</v>
      </c>
      <c r="K111" s="0"/>
      <c r="L111" s="0"/>
      <c r="U111" s="0"/>
      <c r="V111" s="0"/>
      <c r="W111" s="0"/>
      <c r="X111" s="0"/>
      <c r="Y111" s="0"/>
    </row>
    <row r="112" customFormat="false" ht="12.8" hidden="false" customHeight="false" outlineLevel="0" collapsed="false">
      <c r="G112" s="25" t="n">
        <v>44735</v>
      </c>
      <c r="H112" s="32" t="s">
        <v>15</v>
      </c>
      <c r="I112" s="5" t="n">
        <v>-27.9</v>
      </c>
      <c r="J112" s="54" t="s">
        <v>37</v>
      </c>
      <c r="K112" s="0"/>
      <c r="L112" s="0"/>
      <c r="U112" s="0"/>
      <c r="V112" s="0"/>
      <c r="W112" s="0"/>
      <c r="X112" s="0"/>
      <c r="Y112" s="0"/>
    </row>
    <row r="113" customFormat="false" ht="12.8" hidden="false" customHeight="false" outlineLevel="0" collapsed="false">
      <c r="G113" s="25" t="n">
        <v>44736</v>
      </c>
      <c r="H113" s="26" t="s">
        <v>10</v>
      </c>
      <c r="I113" s="5" t="n">
        <v>-35</v>
      </c>
      <c r="J113" s="54" t="s">
        <v>38</v>
      </c>
      <c r="K113" s="5"/>
      <c r="L113" s="0"/>
      <c r="U113" s="0"/>
      <c r="V113" s="0"/>
      <c r="W113" s="0"/>
      <c r="X113" s="0"/>
      <c r="Y113" s="0"/>
    </row>
    <row r="114" customFormat="false" ht="12.8" hidden="false" customHeight="false" outlineLevel="0" collapsed="false">
      <c r="G114" s="25" t="n">
        <v>44736</v>
      </c>
      <c r="H114" s="32" t="s">
        <v>15</v>
      </c>
      <c r="I114" s="5" t="n">
        <v>35</v>
      </c>
      <c r="J114" s="54" t="s">
        <v>38</v>
      </c>
      <c r="K114" s="5"/>
      <c r="L114" s="0"/>
      <c r="U114" s="0"/>
      <c r="V114" s="0"/>
      <c r="W114" s="0"/>
      <c r="X114" s="0"/>
      <c r="Y114" s="0"/>
    </row>
    <row r="115" customFormat="false" ht="12.8" hidden="false" customHeight="false" outlineLevel="0" collapsed="false">
      <c r="G115" s="25" t="n">
        <v>44736</v>
      </c>
      <c r="H115" s="32" t="s">
        <v>15</v>
      </c>
      <c r="I115" s="5" t="n">
        <v>-49.26</v>
      </c>
      <c r="J115" s="54" t="s">
        <v>37</v>
      </c>
      <c r="K115" s="0"/>
      <c r="L115" s="0"/>
      <c r="U115" s="0"/>
      <c r="V115" s="0"/>
      <c r="W115" s="0"/>
      <c r="X115" s="0"/>
      <c r="Y115" s="0"/>
    </row>
    <row r="116" customFormat="false" ht="12.8" hidden="false" customHeight="false" outlineLevel="0" collapsed="false">
      <c r="G116" s="25" t="n">
        <v>44736</v>
      </c>
      <c r="H116" s="26" t="s">
        <v>10</v>
      </c>
      <c r="I116" s="5" t="n">
        <v>-30</v>
      </c>
      <c r="J116" s="54" t="s">
        <v>38</v>
      </c>
      <c r="K116" s="0"/>
      <c r="L116" s="0"/>
      <c r="U116" s="0"/>
      <c r="V116" s="0"/>
      <c r="W116" s="0"/>
      <c r="X116" s="0"/>
      <c r="Y116" s="0"/>
    </row>
    <row r="117" customFormat="false" ht="12.8" hidden="false" customHeight="false" outlineLevel="0" collapsed="false">
      <c r="G117" s="25" t="n">
        <v>44736</v>
      </c>
      <c r="H117" s="32" t="s">
        <v>15</v>
      </c>
      <c r="I117" s="5" t="n">
        <v>30</v>
      </c>
      <c r="J117" s="54" t="s">
        <v>38</v>
      </c>
      <c r="K117" s="0"/>
      <c r="L117" s="0"/>
      <c r="U117" s="0"/>
      <c r="V117" s="0"/>
      <c r="W117" s="0"/>
      <c r="X117" s="0"/>
      <c r="Y117" s="0"/>
    </row>
    <row r="118" customFormat="false" ht="12.8" hidden="false" customHeight="false" outlineLevel="0" collapsed="false">
      <c r="G118" s="25" t="n">
        <v>44736</v>
      </c>
      <c r="H118" s="32" t="s">
        <v>15</v>
      </c>
      <c r="I118" s="5" t="n">
        <v>-21.41</v>
      </c>
      <c r="J118" s="54" t="s">
        <v>37</v>
      </c>
      <c r="K118" s="0"/>
      <c r="L118" s="0"/>
      <c r="U118" s="0"/>
      <c r="V118" s="0"/>
      <c r="W118" s="0"/>
      <c r="X118" s="0"/>
      <c r="Y118" s="0"/>
    </row>
    <row r="119" customFormat="false" ht="12.8" hidden="false" customHeight="false" outlineLevel="0" collapsed="false">
      <c r="G119" s="25" t="n">
        <v>44736</v>
      </c>
      <c r="H119" s="26" t="s">
        <v>10</v>
      </c>
      <c r="I119" s="5" t="n">
        <v>-131</v>
      </c>
      <c r="J119" s="54" t="s">
        <v>54</v>
      </c>
      <c r="K119" s="0"/>
      <c r="L119" s="0"/>
      <c r="U119" s="0"/>
      <c r="V119" s="0"/>
      <c r="W119" s="0"/>
      <c r="X119" s="0"/>
      <c r="Y119" s="0"/>
    </row>
    <row r="120" customFormat="false" ht="12.8" hidden="false" customHeight="false" outlineLevel="0" collapsed="false">
      <c r="G120" s="25" t="n">
        <v>44736</v>
      </c>
      <c r="H120" s="32" t="s">
        <v>15</v>
      </c>
      <c r="I120" s="5" t="n">
        <v>131</v>
      </c>
      <c r="J120" s="54" t="s">
        <v>54</v>
      </c>
      <c r="K120" s="0"/>
      <c r="L120" s="0"/>
      <c r="U120" s="0"/>
      <c r="V120" s="0"/>
      <c r="W120" s="0"/>
      <c r="X120" s="0"/>
      <c r="Y120" s="0"/>
    </row>
    <row r="121" customFormat="false" ht="12.8" hidden="false" customHeight="false" outlineLevel="0" collapsed="false">
      <c r="G121" s="25" t="n">
        <v>44736</v>
      </c>
      <c r="H121" s="26" t="s">
        <v>10</v>
      </c>
      <c r="I121" s="5" t="n">
        <v>-30</v>
      </c>
      <c r="J121" s="54" t="s">
        <v>38</v>
      </c>
      <c r="K121" s="0"/>
      <c r="L121" s="0"/>
      <c r="U121" s="0"/>
      <c r="V121" s="0"/>
      <c r="W121" s="0"/>
      <c r="X121" s="0"/>
      <c r="Y121" s="0"/>
    </row>
    <row r="122" customFormat="false" ht="12.8" hidden="false" customHeight="false" outlineLevel="0" collapsed="false">
      <c r="G122" s="25" t="n">
        <v>44736</v>
      </c>
      <c r="H122" s="32" t="s">
        <v>15</v>
      </c>
      <c r="I122" s="5" t="n">
        <v>30</v>
      </c>
      <c r="J122" s="54" t="s">
        <v>38</v>
      </c>
      <c r="K122" s="0"/>
      <c r="L122" s="0"/>
      <c r="U122" s="0"/>
      <c r="V122" s="0"/>
      <c r="W122" s="0"/>
      <c r="X122" s="0"/>
      <c r="Y122" s="0"/>
    </row>
    <row r="123" customFormat="false" ht="12.8" hidden="false" customHeight="false" outlineLevel="0" collapsed="false">
      <c r="G123" s="25" t="n">
        <v>44736</v>
      </c>
      <c r="H123" s="32" t="s">
        <v>15</v>
      </c>
      <c r="I123" s="5" t="n">
        <v>-30.28</v>
      </c>
      <c r="J123" s="54" t="s">
        <v>37</v>
      </c>
      <c r="K123" s="0"/>
      <c r="L123" s="0"/>
      <c r="U123" s="0"/>
      <c r="V123" s="0"/>
      <c r="W123" s="0"/>
      <c r="X123" s="0"/>
      <c r="Y123" s="0"/>
    </row>
    <row r="124" customFormat="false" ht="12.8" hidden="false" customHeight="false" outlineLevel="0" collapsed="false">
      <c r="G124" s="25" t="n">
        <v>44737</v>
      </c>
      <c r="H124" s="32" t="s">
        <v>15</v>
      </c>
      <c r="I124" s="5" t="n">
        <v>-150</v>
      </c>
      <c r="J124" s="54" t="s">
        <v>55</v>
      </c>
      <c r="K124" s="0"/>
      <c r="L124" s="0"/>
      <c r="U124" s="0"/>
      <c r="V124" s="0"/>
      <c r="W124" s="0"/>
      <c r="X124" s="0"/>
      <c r="Y124" s="0"/>
    </row>
    <row r="125" customFormat="false" ht="12.8" hidden="false" customHeight="false" outlineLevel="0" collapsed="false">
      <c r="G125" s="25" t="n">
        <v>44737</v>
      </c>
      <c r="H125" s="26" t="s">
        <v>10</v>
      </c>
      <c r="I125" s="5" t="n">
        <v>-60</v>
      </c>
      <c r="J125" s="54" t="s">
        <v>38</v>
      </c>
      <c r="K125" s="5"/>
      <c r="L125" s="0"/>
      <c r="U125" s="0"/>
      <c r="V125" s="0"/>
      <c r="W125" s="0"/>
      <c r="X125" s="0"/>
      <c r="Y125" s="0"/>
    </row>
    <row r="126" customFormat="false" ht="12.8" hidden="false" customHeight="false" outlineLevel="0" collapsed="false">
      <c r="G126" s="25" t="n">
        <v>44737</v>
      </c>
      <c r="H126" s="32" t="s">
        <v>15</v>
      </c>
      <c r="I126" s="5" t="n">
        <v>60</v>
      </c>
      <c r="J126" s="54" t="s">
        <v>38</v>
      </c>
      <c r="K126" s="5"/>
      <c r="L126" s="0"/>
      <c r="U126" s="0"/>
      <c r="V126" s="0"/>
      <c r="W126" s="0"/>
      <c r="X126" s="0"/>
      <c r="Y126" s="0"/>
    </row>
    <row r="127" customFormat="false" ht="12.8" hidden="false" customHeight="false" outlineLevel="0" collapsed="false">
      <c r="G127" s="25" t="n">
        <v>44737</v>
      </c>
      <c r="H127" s="32" t="s">
        <v>15</v>
      </c>
      <c r="I127" s="5" t="n">
        <v>-48.83</v>
      </c>
      <c r="J127" s="54" t="s">
        <v>37</v>
      </c>
      <c r="K127" s="0"/>
      <c r="L127" s="0"/>
      <c r="U127" s="0"/>
      <c r="V127" s="0"/>
      <c r="W127" s="0"/>
      <c r="X127" s="0"/>
      <c r="Y127" s="0"/>
    </row>
    <row r="128" customFormat="false" ht="12.8" hidden="false" customHeight="false" outlineLevel="0" collapsed="false">
      <c r="G128" s="25" t="n">
        <v>44737</v>
      </c>
      <c r="H128" s="26" t="s">
        <v>10</v>
      </c>
      <c r="I128" s="5" t="n">
        <v>-19</v>
      </c>
      <c r="J128" s="54" t="s">
        <v>38</v>
      </c>
      <c r="K128" s="0"/>
      <c r="L128" s="0"/>
      <c r="U128" s="0"/>
      <c r="V128" s="0"/>
      <c r="W128" s="0"/>
      <c r="X128" s="0"/>
      <c r="Y128" s="0"/>
    </row>
    <row r="129" customFormat="false" ht="12.8" hidden="false" customHeight="false" outlineLevel="0" collapsed="false">
      <c r="G129" s="25" t="n">
        <v>44737</v>
      </c>
      <c r="H129" s="32" t="s">
        <v>15</v>
      </c>
      <c r="I129" s="5" t="n">
        <v>19</v>
      </c>
      <c r="J129" s="54" t="s">
        <v>38</v>
      </c>
      <c r="K129" s="0"/>
      <c r="L129" s="0"/>
      <c r="U129" s="0"/>
      <c r="V129" s="0"/>
      <c r="W129" s="0"/>
      <c r="X129" s="0"/>
      <c r="Y129" s="0"/>
    </row>
    <row r="130" customFormat="false" ht="12.8" hidden="false" customHeight="false" outlineLevel="0" collapsed="false">
      <c r="G130" s="25" t="n">
        <v>44737</v>
      </c>
      <c r="H130" s="32" t="s">
        <v>15</v>
      </c>
      <c r="I130" s="5" t="n">
        <v>-22.36</v>
      </c>
      <c r="J130" s="54" t="s">
        <v>37</v>
      </c>
      <c r="K130" s="0"/>
      <c r="L130" s="0"/>
      <c r="U130" s="0"/>
      <c r="V130" s="0"/>
      <c r="W130" s="0"/>
      <c r="X130" s="0"/>
      <c r="Y130" s="0"/>
    </row>
    <row r="131" customFormat="false" ht="12.8" hidden="false" customHeight="false" outlineLevel="0" collapsed="false">
      <c r="G131" s="25" t="n">
        <v>44738</v>
      </c>
      <c r="H131" s="26" t="s">
        <v>10</v>
      </c>
      <c r="I131" s="5" t="n">
        <v>-50</v>
      </c>
      <c r="J131" s="54" t="s">
        <v>38</v>
      </c>
      <c r="K131" s="0"/>
      <c r="L131" s="0"/>
      <c r="U131" s="0"/>
      <c r="V131" s="0"/>
      <c r="W131" s="0"/>
      <c r="X131" s="0"/>
      <c r="Y131" s="0"/>
    </row>
    <row r="132" customFormat="false" ht="12.8" hidden="false" customHeight="false" outlineLevel="0" collapsed="false">
      <c r="G132" s="25" t="n">
        <v>44738</v>
      </c>
      <c r="H132" s="32" t="s">
        <v>15</v>
      </c>
      <c r="I132" s="5" t="n">
        <v>50</v>
      </c>
      <c r="J132" s="54" t="s">
        <v>38</v>
      </c>
      <c r="K132" s="0"/>
      <c r="L132" s="0"/>
      <c r="U132" s="0"/>
      <c r="V132" s="0"/>
      <c r="W132" s="0"/>
      <c r="X132" s="0"/>
      <c r="Y132" s="0"/>
    </row>
    <row r="133" customFormat="false" ht="12.8" hidden="false" customHeight="false" outlineLevel="0" collapsed="false">
      <c r="G133" s="25" t="n">
        <v>44738</v>
      </c>
      <c r="H133" s="32" t="s">
        <v>15</v>
      </c>
      <c r="I133" s="5" t="n">
        <v>-50.47</v>
      </c>
      <c r="J133" s="54" t="s">
        <v>37</v>
      </c>
      <c r="K133" s="0"/>
      <c r="L133" s="0"/>
      <c r="U133" s="0"/>
      <c r="V133" s="0"/>
      <c r="W133" s="0"/>
      <c r="X133" s="0"/>
      <c r="Y133" s="0"/>
    </row>
    <row r="134" customFormat="false" ht="12.8" hidden="false" customHeight="false" outlineLevel="0" collapsed="false">
      <c r="G134" s="25" t="n">
        <v>44738</v>
      </c>
      <c r="H134" s="26" t="s">
        <v>10</v>
      </c>
      <c r="I134" s="5" t="n">
        <v>-20</v>
      </c>
      <c r="J134" s="54" t="s">
        <v>38</v>
      </c>
      <c r="K134" s="0"/>
      <c r="L134" s="0"/>
      <c r="U134" s="0"/>
      <c r="V134" s="0"/>
      <c r="W134" s="0"/>
      <c r="X134" s="0"/>
      <c r="Y134" s="0"/>
    </row>
    <row r="135" customFormat="false" ht="12.8" hidden="false" customHeight="false" outlineLevel="0" collapsed="false">
      <c r="G135" s="25" t="n">
        <v>44738</v>
      </c>
      <c r="H135" s="32" t="s">
        <v>15</v>
      </c>
      <c r="I135" s="5" t="n">
        <v>20</v>
      </c>
      <c r="J135" s="54" t="s">
        <v>38</v>
      </c>
      <c r="K135" s="0"/>
      <c r="L135" s="0"/>
      <c r="U135" s="0"/>
      <c r="V135" s="0"/>
      <c r="W135" s="0"/>
      <c r="X135" s="0"/>
      <c r="Y135" s="0"/>
    </row>
    <row r="136" customFormat="false" ht="12.8" hidden="false" customHeight="false" outlineLevel="0" collapsed="false">
      <c r="G136" s="25" t="n">
        <v>44738</v>
      </c>
      <c r="H136" s="32" t="s">
        <v>15</v>
      </c>
      <c r="I136" s="5" t="n">
        <v>-27.58</v>
      </c>
      <c r="J136" s="54" t="s">
        <v>37</v>
      </c>
      <c r="K136" s="0"/>
      <c r="L136" s="0"/>
      <c r="U136" s="0"/>
      <c r="V136" s="0"/>
      <c r="W136" s="0"/>
      <c r="X136" s="0"/>
      <c r="Y136" s="0"/>
    </row>
    <row r="137" customFormat="false" ht="12.8" hidden="false" customHeight="false" outlineLevel="0" collapsed="false">
      <c r="G137" s="25" t="n">
        <v>44739</v>
      </c>
      <c r="H137" s="26" t="s">
        <v>10</v>
      </c>
      <c r="I137" s="5" t="n">
        <v>-60</v>
      </c>
      <c r="J137" s="54" t="s">
        <v>38</v>
      </c>
      <c r="K137" s="0"/>
      <c r="L137" s="0"/>
      <c r="M137" s="0"/>
      <c r="U137" s="0"/>
      <c r="V137" s="0"/>
      <c r="W137" s="0"/>
      <c r="X137" s="0"/>
      <c r="Y137" s="0"/>
    </row>
    <row r="138" customFormat="false" ht="12.8" hidden="false" customHeight="false" outlineLevel="0" collapsed="false">
      <c r="G138" s="25" t="n">
        <v>44739</v>
      </c>
      <c r="H138" s="32" t="s">
        <v>15</v>
      </c>
      <c r="I138" s="5" t="n">
        <v>60</v>
      </c>
      <c r="J138" s="54" t="s">
        <v>38</v>
      </c>
      <c r="K138" s="0"/>
      <c r="L138" s="0"/>
      <c r="U138" s="0"/>
      <c r="V138" s="0"/>
      <c r="W138" s="0"/>
      <c r="X138" s="0"/>
      <c r="Y138" s="0"/>
    </row>
    <row r="139" customFormat="false" ht="12.8" hidden="false" customHeight="false" outlineLevel="0" collapsed="false">
      <c r="G139" s="25" t="n">
        <v>44739</v>
      </c>
      <c r="H139" s="32" t="s">
        <v>15</v>
      </c>
      <c r="I139" s="5" t="n">
        <v>-50.25</v>
      </c>
      <c r="J139" s="54" t="s">
        <v>37</v>
      </c>
      <c r="K139" s="0"/>
      <c r="L139" s="0"/>
      <c r="U139" s="0"/>
      <c r="V139" s="0"/>
      <c r="W139" s="0"/>
      <c r="X139" s="0"/>
      <c r="Y139" s="0"/>
    </row>
    <row r="140" customFormat="false" ht="12.8" hidden="false" customHeight="false" outlineLevel="0" collapsed="false">
      <c r="G140" s="25" t="n">
        <v>44739</v>
      </c>
      <c r="H140" s="26" t="s">
        <v>10</v>
      </c>
      <c r="I140" s="5" t="n">
        <v>-25</v>
      </c>
      <c r="J140" s="54" t="s">
        <v>38</v>
      </c>
      <c r="K140" s="0"/>
      <c r="L140" s="0"/>
      <c r="U140" s="0"/>
      <c r="V140" s="0"/>
      <c r="W140" s="0"/>
      <c r="X140" s="0"/>
      <c r="Y140" s="0"/>
    </row>
    <row r="141" customFormat="false" ht="12.8" hidden="false" customHeight="false" outlineLevel="0" collapsed="false">
      <c r="G141" s="25" t="n">
        <v>44739</v>
      </c>
      <c r="H141" s="32" t="s">
        <v>15</v>
      </c>
      <c r="I141" s="5" t="n">
        <v>25</v>
      </c>
      <c r="J141" s="54" t="s">
        <v>38</v>
      </c>
      <c r="K141" s="0"/>
      <c r="L141" s="0"/>
      <c r="M141" s="0"/>
      <c r="U141" s="0"/>
      <c r="V141" s="0"/>
      <c r="W141" s="0"/>
      <c r="X141" s="0"/>
      <c r="Y141" s="0"/>
    </row>
    <row r="142" customFormat="false" ht="12.8" hidden="false" customHeight="false" outlineLevel="0" collapsed="false">
      <c r="G142" s="25" t="n">
        <v>44740</v>
      </c>
      <c r="H142" s="48" t="s">
        <v>26</v>
      </c>
      <c r="I142" s="5" t="n">
        <v>-50</v>
      </c>
      <c r="J142" s="0" t="s">
        <v>56</v>
      </c>
      <c r="K142" s="0"/>
      <c r="L142" s="0"/>
      <c r="U142" s="0"/>
      <c r="V142" s="0"/>
      <c r="W142" s="0"/>
      <c r="X142" s="0"/>
      <c r="Y142" s="0"/>
    </row>
    <row r="143" customFormat="false" ht="12.8" hidden="false" customHeight="false" outlineLevel="0" collapsed="false">
      <c r="G143" s="25" t="n">
        <v>44740</v>
      </c>
      <c r="H143" s="52" t="s">
        <v>14</v>
      </c>
      <c r="I143" s="5" t="n">
        <v>50</v>
      </c>
      <c r="J143" s="0" t="s">
        <v>56</v>
      </c>
      <c r="K143" s="0"/>
      <c r="L143" s="0"/>
      <c r="U143" s="0"/>
      <c r="V143" s="0"/>
      <c r="W143" s="0"/>
      <c r="X143" s="0"/>
      <c r="Y143" s="0"/>
    </row>
    <row r="144" customFormat="false" ht="12.8" hidden="false" customHeight="false" outlineLevel="0" collapsed="false">
      <c r="G144" s="25" t="n">
        <v>44740</v>
      </c>
      <c r="H144" s="26" t="s">
        <v>10</v>
      </c>
      <c r="I144" s="5" t="n">
        <v>-25</v>
      </c>
      <c r="J144" s="54" t="s">
        <v>38</v>
      </c>
      <c r="K144" s="0"/>
      <c r="L144" s="0"/>
      <c r="U144" s="0"/>
      <c r="V144" s="0"/>
      <c r="W144" s="0"/>
      <c r="X144" s="0"/>
      <c r="Y144" s="0"/>
    </row>
    <row r="145" customFormat="false" ht="12.8" hidden="false" customHeight="false" outlineLevel="0" collapsed="false">
      <c r="G145" s="25" t="n">
        <v>44740</v>
      </c>
      <c r="H145" s="32" t="s">
        <v>15</v>
      </c>
      <c r="I145" s="5" t="n">
        <v>25</v>
      </c>
      <c r="J145" s="54" t="s">
        <v>38</v>
      </c>
      <c r="K145" s="0"/>
      <c r="L145" s="0"/>
      <c r="U145" s="0"/>
      <c r="V145" s="0"/>
      <c r="W145" s="0"/>
      <c r="X145" s="0"/>
      <c r="Y145" s="0"/>
    </row>
    <row r="146" customFormat="false" ht="12.8" hidden="false" customHeight="false" outlineLevel="0" collapsed="false">
      <c r="G146" s="25" t="n">
        <v>44740</v>
      </c>
      <c r="H146" s="32" t="s">
        <v>15</v>
      </c>
      <c r="I146" s="5" t="n">
        <v>-53.11</v>
      </c>
      <c r="J146" s="54" t="s">
        <v>37</v>
      </c>
      <c r="K146" s="0"/>
      <c r="L146" s="0"/>
      <c r="U146" s="0"/>
      <c r="V146" s="0"/>
      <c r="W146" s="0"/>
      <c r="X146" s="0"/>
      <c r="Y146" s="0"/>
    </row>
    <row r="147" customFormat="false" ht="12.8" hidden="false" customHeight="false" outlineLevel="0" collapsed="false">
      <c r="G147" s="25" t="n">
        <v>44740</v>
      </c>
      <c r="H147" s="52" t="s">
        <v>14</v>
      </c>
      <c r="I147" s="5" t="n">
        <f aca="false">5965.12-5963.92</f>
        <v>1.19999999999982</v>
      </c>
      <c r="J147" s="0" t="s">
        <v>40</v>
      </c>
      <c r="K147" s="0"/>
      <c r="L147" s="0"/>
      <c r="U147" s="0"/>
      <c r="V147" s="0"/>
      <c r="W147" s="0"/>
      <c r="X147" s="0"/>
      <c r="Y147" s="0"/>
    </row>
    <row r="148" customFormat="false" ht="12.8" hidden="false" customHeight="false" outlineLevel="0" collapsed="false">
      <c r="G148" s="25" t="n">
        <v>44740</v>
      </c>
      <c r="H148" s="26" t="s">
        <v>10</v>
      </c>
      <c r="I148" s="5" t="n">
        <v>-25</v>
      </c>
      <c r="J148" s="54" t="s">
        <v>38</v>
      </c>
      <c r="K148" s="0"/>
      <c r="L148" s="0"/>
      <c r="U148" s="0"/>
      <c r="V148" s="0"/>
      <c r="W148" s="0"/>
      <c r="X148" s="0"/>
      <c r="Y148" s="0"/>
    </row>
    <row r="149" customFormat="false" ht="12.8" hidden="false" customHeight="false" outlineLevel="0" collapsed="false">
      <c r="G149" s="25" t="n">
        <v>44740</v>
      </c>
      <c r="H149" s="32" t="s">
        <v>15</v>
      </c>
      <c r="I149" s="5" t="n">
        <v>25</v>
      </c>
      <c r="J149" s="54" t="s">
        <v>38</v>
      </c>
      <c r="K149" s="0"/>
      <c r="L149" s="0"/>
      <c r="U149" s="0"/>
      <c r="V149" s="0"/>
      <c r="W149" s="0"/>
      <c r="X149" s="0"/>
      <c r="Y149" s="0"/>
    </row>
    <row r="150" customFormat="false" ht="12.8" hidden="false" customHeight="false" outlineLevel="0" collapsed="false">
      <c r="G150" s="25" t="n">
        <v>44740</v>
      </c>
      <c r="H150" s="32" t="s">
        <v>15</v>
      </c>
      <c r="I150" s="5" t="n">
        <v>-25.18</v>
      </c>
      <c r="J150" s="54" t="s">
        <v>37</v>
      </c>
      <c r="K150" s="0"/>
      <c r="L150" s="0"/>
      <c r="U150" s="0"/>
      <c r="V150" s="0"/>
      <c r="W150" s="0"/>
      <c r="X150" s="0"/>
      <c r="Y150" s="0"/>
    </row>
    <row r="151" customFormat="false" ht="12.8" hidden="false" customHeight="false" outlineLevel="0" collapsed="false">
      <c r="G151" s="25" t="n">
        <v>44740</v>
      </c>
      <c r="H151" s="43" t="s">
        <v>23</v>
      </c>
      <c r="I151" s="5" t="n">
        <v>250</v>
      </c>
      <c r="J151" s="10" t="s">
        <v>42</v>
      </c>
      <c r="K151" s="0"/>
      <c r="L151" s="0"/>
      <c r="U151" s="0"/>
      <c r="V151" s="0"/>
      <c r="W151" s="0"/>
      <c r="X151" s="0"/>
      <c r="Y151" s="0"/>
    </row>
    <row r="152" customFormat="false" ht="12.8" hidden="false" customHeight="false" outlineLevel="0" collapsed="false">
      <c r="G152" s="25" t="n">
        <v>44740</v>
      </c>
      <c r="H152" s="43" t="s">
        <v>23</v>
      </c>
      <c r="I152" s="5" t="n">
        <v>-5</v>
      </c>
      <c r="J152" s="10" t="s">
        <v>43</v>
      </c>
      <c r="K152" s="0"/>
      <c r="L152" s="0"/>
      <c r="U152" s="0"/>
      <c r="V152" s="0"/>
      <c r="W152" s="0"/>
      <c r="X152" s="0"/>
      <c r="Y152" s="0"/>
    </row>
    <row r="153" customFormat="false" ht="12.8" hidden="false" customHeight="false" outlineLevel="0" collapsed="false">
      <c r="G153" s="25" t="n">
        <v>44741</v>
      </c>
      <c r="H153" s="26" t="s">
        <v>10</v>
      </c>
      <c r="I153" s="5" t="n">
        <v>-100</v>
      </c>
      <c r="J153" s="54" t="s">
        <v>38</v>
      </c>
      <c r="K153" s="0"/>
      <c r="L153" s="0"/>
      <c r="U153" s="0"/>
      <c r="V153" s="0"/>
      <c r="W153" s="0"/>
      <c r="X153" s="0"/>
      <c r="Y153" s="0"/>
    </row>
    <row r="154" customFormat="false" ht="12.8" hidden="false" customHeight="false" outlineLevel="0" collapsed="false">
      <c r="G154" s="25" t="n">
        <v>44741</v>
      </c>
      <c r="H154" s="32" t="s">
        <v>15</v>
      </c>
      <c r="I154" s="5" t="n">
        <v>100</v>
      </c>
      <c r="J154" s="54" t="s">
        <v>38</v>
      </c>
      <c r="K154" s="0"/>
      <c r="L154" s="0"/>
      <c r="U154" s="0"/>
      <c r="V154" s="0"/>
      <c r="W154" s="0"/>
      <c r="X154" s="0"/>
      <c r="Y154" s="0"/>
    </row>
    <row r="155" customFormat="false" ht="12.8" hidden="false" customHeight="false" outlineLevel="0" collapsed="false">
      <c r="G155" s="25" t="n">
        <v>44741</v>
      </c>
      <c r="H155" s="32" t="s">
        <v>15</v>
      </c>
      <c r="I155" s="5" t="n">
        <v>-100</v>
      </c>
      <c r="J155" s="54" t="s">
        <v>57</v>
      </c>
      <c r="K155" s="0"/>
      <c r="L155" s="0"/>
      <c r="U155" s="0"/>
      <c r="V155" s="0"/>
      <c r="W155" s="0"/>
      <c r="X155" s="0"/>
      <c r="Y155" s="0"/>
    </row>
    <row r="156" customFormat="false" ht="12.8" hidden="false" customHeight="false" outlineLevel="0" collapsed="false">
      <c r="G156" s="25" t="n">
        <v>44741</v>
      </c>
      <c r="H156" s="48" t="s">
        <v>26</v>
      </c>
      <c r="I156" s="5" t="n">
        <v>100</v>
      </c>
      <c r="J156" s="0" t="s">
        <v>57</v>
      </c>
      <c r="K156" s="0"/>
      <c r="L156" s="0"/>
      <c r="U156" s="0"/>
      <c r="V156" s="0"/>
      <c r="W156" s="0"/>
      <c r="X156" s="0"/>
      <c r="Y156" s="0"/>
    </row>
    <row r="157" customFormat="false" ht="12.8" hidden="false" customHeight="false" outlineLevel="0" collapsed="false">
      <c r="G157" s="25" t="n">
        <v>44741</v>
      </c>
      <c r="H157" s="26" t="s">
        <v>10</v>
      </c>
      <c r="I157" s="5" t="n">
        <v>-50</v>
      </c>
      <c r="J157" s="54" t="s">
        <v>38</v>
      </c>
      <c r="K157" s="0"/>
      <c r="L157" s="0"/>
      <c r="U157" s="0"/>
      <c r="V157" s="0"/>
      <c r="W157" s="0"/>
      <c r="X157" s="0"/>
      <c r="Y157" s="0"/>
    </row>
    <row r="158" customFormat="false" ht="12.8" hidden="false" customHeight="false" outlineLevel="0" collapsed="false">
      <c r="G158" s="25" t="n">
        <v>44741</v>
      </c>
      <c r="H158" s="32" t="s">
        <v>15</v>
      </c>
      <c r="I158" s="5" t="n">
        <v>50</v>
      </c>
      <c r="J158" s="54" t="s">
        <v>38</v>
      </c>
      <c r="K158" s="0"/>
      <c r="L158" s="0"/>
      <c r="U158" s="0"/>
      <c r="V158" s="0"/>
      <c r="W158" s="0"/>
      <c r="X158" s="0"/>
      <c r="Y158" s="0"/>
    </row>
    <row r="159" customFormat="false" ht="12.8" hidden="false" customHeight="false" outlineLevel="0" collapsed="false">
      <c r="G159" s="25" t="n">
        <v>44741</v>
      </c>
      <c r="H159" s="32" t="s">
        <v>15</v>
      </c>
      <c r="I159" s="5" t="n">
        <f aca="false">6.36-56.61</f>
        <v>-50.25</v>
      </c>
      <c r="J159" s="54" t="s">
        <v>37</v>
      </c>
      <c r="K159" s="0"/>
      <c r="L159" s="0"/>
      <c r="U159" s="0"/>
      <c r="V159" s="0"/>
      <c r="W159" s="0"/>
      <c r="X159" s="0"/>
      <c r="Y159" s="0"/>
    </row>
    <row r="160" customFormat="false" ht="12.8" hidden="false" customHeight="false" outlineLevel="0" collapsed="false">
      <c r="G160" s="25" t="n">
        <v>44741</v>
      </c>
      <c r="H160" s="43" t="s">
        <v>23</v>
      </c>
      <c r="I160" s="5" t="n">
        <f aca="false">-40.81-1.68</f>
        <v>-42.49</v>
      </c>
      <c r="J160" s="10" t="s">
        <v>37</v>
      </c>
      <c r="K160" s="0"/>
      <c r="L160" s="0"/>
      <c r="U160" s="0"/>
      <c r="V160" s="0"/>
      <c r="W160" s="0"/>
      <c r="X160" s="0"/>
      <c r="Y160" s="0"/>
    </row>
    <row r="161" customFormat="false" ht="12.8" hidden="false" customHeight="false" outlineLevel="0" collapsed="false">
      <c r="G161" s="25" t="n">
        <v>44741</v>
      </c>
      <c r="H161" s="48" t="s">
        <v>26</v>
      </c>
      <c r="I161" s="5" t="n">
        <v>-100</v>
      </c>
      <c r="J161" s="55" t="s">
        <v>56</v>
      </c>
      <c r="K161" s="0"/>
      <c r="L161" s="0"/>
      <c r="U161" s="0"/>
      <c r="V161" s="0"/>
      <c r="W161" s="0"/>
      <c r="X161" s="0"/>
      <c r="Y161" s="0"/>
    </row>
    <row r="162" customFormat="false" ht="12.8" hidden="false" customHeight="false" outlineLevel="0" collapsed="false">
      <c r="G162" s="25" t="n">
        <v>44741</v>
      </c>
      <c r="H162" s="52" t="s">
        <v>14</v>
      </c>
      <c r="I162" s="5" t="n">
        <v>100</v>
      </c>
      <c r="J162" s="0" t="s">
        <v>56</v>
      </c>
      <c r="K162" s="0"/>
      <c r="L162" s="0"/>
      <c r="U162" s="0"/>
      <c r="V162" s="0"/>
      <c r="W162" s="0"/>
      <c r="X162" s="0"/>
      <c r="Y162" s="0"/>
    </row>
    <row r="163" customFormat="false" ht="12.8" hidden="false" customHeight="false" outlineLevel="0" collapsed="false">
      <c r="G163" s="25" t="n">
        <v>44741</v>
      </c>
      <c r="H163" s="52" t="s">
        <v>14</v>
      </c>
      <c r="I163" s="5" t="n">
        <v>0.1</v>
      </c>
      <c r="J163" s="0" t="s">
        <v>40</v>
      </c>
      <c r="K163" s="5"/>
      <c r="L163" s="0"/>
      <c r="U163" s="0"/>
      <c r="V163" s="0"/>
      <c r="W163" s="0"/>
      <c r="X163" s="0"/>
      <c r="Y163" s="0"/>
    </row>
    <row r="164" customFormat="false" ht="12.8" hidden="false" customHeight="false" outlineLevel="0" collapsed="false">
      <c r="G164" s="25" t="n">
        <v>44742</v>
      </c>
      <c r="H164" s="43" t="s">
        <v>23</v>
      </c>
      <c r="I164" s="5" t="n">
        <v>-5</v>
      </c>
      <c r="J164" s="10" t="s">
        <v>58</v>
      </c>
      <c r="K164" s="5"/>
      <c r="L164" s="0"/>
      <c r="U164" s="0"/>
      <c r="V164" s="0"/>
      <c r="W164" s="0"/>
      <c r="X164" s="0"/>
      <c r="Y164" s="0"/>
    </row>
    <row r="165" customFormat="false" ht="12.8" hidden="false" customHeight="false" outlineLevel="0" collapsed="false">
      <c r="G165" s="25" t="n">
        <v>44742</v>
      </c>
      <c r="H165" s="43" t="s">
        <v>23</v>
      </c>
      <c r="I165" s="5" t="n">
        <v>-54.1</v>
      </c>
      <c r="J165" s="10" t="s">
        <v>37</v>
      </c>
      <c r="K165" s="0"/>
      <c r="L165" s="0"/>
      <c r="U165" s="0"/>
      <c r="V165" s="0"/>
      <c r="W165" s="0"/>
      <c r="X165" s="0"/>
      <c r="Y165" s="0"/>
    </row>
    <row r="166" customFormat="false" ht="12.8" hidden="false" customHeight="false" outlineLevel="0" collapsed="false">
      <c r="G166" s="25" t="n">
        <v>44742</v>
      </c>
      <c r="H166" s="43" t="s">
        <v>23</v>
      </c>
      <c r="I166" s="5" t="n">
        <f aca="false">133.46-158.27</f>
        <v>-24.81</v>
      </c>
      <c r="J166" s="10" t="s">
        <v>37</v>
      </c>
      <c r="K166" s="0"/>
      <c r="L166" s="0"/>
      <c r="U166" s="0"/>
      <c r="V166" s="0"/>
      <c r="W166" s="0"/>
      <c r="X166" s="0"/>
      <c r="Y166" s="0"/>
    </row>
    <row r="167" customFormat="false" ht="12.8" hidden="false" customHeight="false" outlineLevel="0" collapsed="false">
      <c r="G167" s="25" t="n">
        <v>44742</v>
      </c>
      <c r="H167" s="26" t="s">
        <v>10</v>
      </c>
      <c r="I167" s="5" t="n">
        <v>-24</v>
      </c>
      <c r="J167" s="54" t="s">
        <v>38</v>
      </c>
      <c r="K167" s="0"/>
      <c r="L167" s="0"/>
      <c r="U167" s="0"/>
      <c r="V167" s="0"/>
      <c r="W167" s="0"/>
      <c r="X167" s="0"/>
      <c r="Y167" s="0"/>
    </row>
    <row r="168" customFormat="false" ht="12.8" hidden="false" customHeight="false" outlineLevel="0" collapsed="false">
      <c r="G168" s="25" t="n">
        <v>44742</v>
      </c>
      <c r="H168" s="32" t="s">
        <v>15</v>
      </c>
      <c r="I168" s="5" t="n">
        <v>24</v>
      </c>
      <c r="J168" s="54" t="s">
        <v>38</v>
      </c>
      <c r="K168" s="0"/>
      <c r="L168" s="0"/>
      <c r="U168" s="0"/>
      <c r="V168" s="0"/>
      <c r="W168" s="0"/>
      <c r="X168" s="0"/>
      <c r="Y168" s="0"/>
    </row>
    <row r="169" customFormat="false" ht="12.8" hidden="false" customHeight="false" outlineLevel="0" collapsed="false">
      <c r="G169" s="25" t="n">
        <v>44742</v>
      </c>
      <c r="H169" s="32" t="s">
        <v>15</v>
      </c>
      <c r="I169" s="5" t="n">
        <v>-28.6</v>
      </c>
      <c r="J169" s="54" t="s">
        <v>37</v>
      </c>
      <c r="K169" s="0"/>
      <c r="L169" s="0"/>
      <c r="U169" s="0"/>
      <c r="V169" s="0"/>
      <c r="W169" s="0"/>
      <c r="X169" s="0"/>
      <c r="Y169" s="0"/>
    </row>
    <row r="170" customFormat="false" ht="12.8" hidden="false" customHeight="false" outlineLevel="0" collapsed="false">
      <c r="G170" s="25" t="n">
        <v>44742</v>
      </c>
      <c r="H170" s="52" t="s">
        <v>14</v>
      </c>
      <c r="I170" s="5" t="n">
        <v>-108</v>
      </c>
      <c r="J170" s="0" t="s">
        <v>59</v>
      </c>
      <c r="K170" s="0"/>
      <c r="L170" s="0"/>
      <c r="U170" s="0"/>
      <c r="V170" s="0"/>
      <c r="W170" s="0"/>
      <c r="X170" s="0"/>
      <c r="Y170" s="0"/>
    </row>
    <row r="171" customFormat="false" ht="12.8" hidden="false" customHeight="false" outlineLevel="0" collapsed="false">
      <c r="G171" s="25" t="n">
        <v>44742</v>
      </c>
      <c r="H171" s="48" t="s">
        <v>26</v>
      </c>
      <c r="I171" s="5" t="n">
        <v>108</v>
      </c>
      <c r="J171" s="0" t="s">
        <v>59</v>
      </c>
      <c r="K171" s="0"/>
      <c r="L171" s="0"/>
      <c r="U171" s="0"/>
      <c r="V171" s="0"/>
      <c r="W171" s="0"/>
      <c r="X171" s="0"/>
      <c r="Y171" s="0"/>
    </row>
    <row r="172" customFormat="false" ht="12.8" hidden="false" customHeight="false" outlineLevel="0" collapsed="false">
      <c r="G172" s="25" t="n">
        <v>44742</v>
      </c>
      <c r="H172" s="52" t="s">
        <v>14</v>
      </c>
      <c r="I172" s="5" t="n">
        <v>-7</v>
      </c>
      <c r="J172" s="0" t="s">
        <v>59</v>
      </c>
      <c r="K172" s="0"/>
      <c r="L172" s="0"/>
      <c r="U172" s="0"/>
      <c r="V172" s="0"/>
      <c r="W172" s="0"/>
      <c r="X172" s="0"/>
      <c r="Y172" s="0"/>
    </row>
    <row r="173" customFormat="false" ht="12.8" hidden="false" customHeight="false" outlineLevel="0" collapsed="false">
      <c r="G173" s="25" t="n">
        <v>44742</v>
      </c>
      <c r="H173" s="48" t="s">
        <v>26</v>
      </c>
      <c r="I173" s="5" t="n">
        <v>7</v>
      </c>
      <c r="J173" s="0" t="s">
        <v>59</v>
      </c>
      <c r="K173" s="0"/>
      <c r="L173" s="0"/>
      <c r="U173" s="0"/>
      <c r="V173" s="0"/>
      <c r="W173" s="0"/>
      <c r="X173" s="0"/>
      <c r="Y173" s="0"/>
    </row>
    <row r="174" customFormat="false" ht="12.8" hidden="false" customHeight="false" outlineLevel="0" collapsed="false">
      <c r="G174" s="25" t="n">
        <v>44742</v>
      </c>
      <c r="H174" s="48" t="s">
        <v>26</v>
      </c>
      <c r="I174" s="5" t="n">
        <v>-114.98</v>
      </c>
      <c r="J174" s="0" t="s">
        <v>60</v>
      </c>
      <c r="K174" s="0"/>
      <c r="L174" s="0"/>
      <c r="U174" s="0"/>
      <c r="V174" s="0"/>
      <c r="W174" s="0"/>
      <c r="X174" s="0"/>
      <c r="Y174" s="0"/>
    </row>
    <row r="175" customFormat="false" ht="12.8" hidden="false" customHeight="false" outlineLevel="0" collapsed="false">
      <c r="G175" s="25" t="n">
        <v>44743</v>
      </c>
      <c r="H175" s="43" t="s">
        <v>23</v>
      </c>
      <c r="I175" s="5" t="n">
        <f aca="false">-(133.46-77.16)</f>
        <v>-56.3</v>
      </c>
      <c r="J175" s="10" t="s">
        <v>37</v>
      </c>
      <c r="K175" s="0"/>
      <c r="L175" s="0"/>
      <c r="U175" s="0"/>
      <c r="V175" s="0"/>
      <c r="W175" s="0"/>
      <c r="X175" s="0"/>
      <c r="Y175" s="0"/>
    </row>
    <row r="176" customFormat="false" ht="12.8" hidden="false" customHeight="false" outlineLevel="0" collapsed="false">
      <c r="G176" s="25" t="n">
        <v>44743</v>
      </c>
      <c r="H176" s="48" t="s">
        <v>26</v>
      </c>
      <c r="I176" s="5" t="n">
        <v>-5</v>
      </c>
      <c r="J176" s="0" t="s">
        <v>61</v>
      </c>
      <c r="K176" s="0"/>
      <c r="L176" s="0"/>
      <c r="U176" s="0"/>
      <c r="V176" s="0"/>
      <c r="W176" s="0"/>
      <c r="X176" s="0"/>
      <c r="Y176" s="0"/>
    </row>
    <row r="177" customFormat="false" ht="12.8" hidden="false" customHeight="false" outlineLevel="0" collapsed="false">
      <c r="G177" s="25" t="n">
        <v>44743</v>
      </c>
      <c r="H177" s="48" t="s">
        <v>26</v>
      </c>
      <c r="I177" s="5" t="n">
        <v>-10</v>
      </c>
      <c r="J177" s="55" t="s">
        <v>62</v>
      </c>
      <c r="K177" s="0"/>
      <c r="L177" s="0"/>
      <c r="U177" s="0"/>
      <c r="V177" s="0"/>
      <c r="W177" s="0"/>
      <c r="X177" s="0"/>
      <c r="Y177" s="0"/>
    </row>
    <row r="178" customFormat="false" ht="12.8" hidden="false" customHeight="false" outlineLevel="0" collapsed="false">
      <c r="G178" s="25" t="n">
        <v>44743</v>
      </c>
      <c r="H178" s="26" t="s">
        <v>10</v>
      </c>
      <c r="I178" s="5" t="n">
        <v>0.92</v>
      </c>
      <c r="J178" s="0" t="s">
        <v>40</v>
      </c>
      <c r="K178" s="0"/>
      <c r="L178" s="0"/>
      <c r="U178" s="0"/>
      <c r="V178" s="0"/>
      <c r="W178" s="0"/>
      <c r="X178" s="0"/>
      <c r="Y178" s="0"/>
    </row>
    <row r="179" customFormat="false" ht="12.8" hidden="false" customHeight="false" outlineLevel="0" collapsed="false">
      <c r="G179" s="25" t="n">
        <v>44743</v>
      </c>
      <c r="H179" s="52" t="s">
        <v>14</v>
      </c>
      <c r="I179" s="5" t="n">
        <v>-30</v>
      </c>
      <c r="J179" s="0" t="s">
        <v>63</v>
      </c>
      <c r="K179" s="0"/>
      <c r="L179" s="0"/>
      <c r="U179" s="0"/>
      <c r="V179" s="0"/>
      <c r="W179" s="0"/>
      <c r="X179" s="0"/>
      <c r="Y179" s="0"/>
    </row>
    <row r="180" customFormat="false" ht="12.8" hidden="false" customHeight="false" outlineLevel="0" collapsed="false">
      <c r="G180" s="25" t="n">
        <v>44743</v>
      </c>
      <c r="H180" s="48" t="s">
        <v>26</v>
      </c>
      <c r="I180" s="5" t="n">
        <v>30</v>
      </c>
      <c r="J180" s="0" t="s">
        <v>63</v>
      </c>
      <c r="K180" s="0"/>
      <c r="L180" s="0"/>
      <c r="U180" s="0"/>
      <c r="V180" s="0"/>
      <c r="W180" s="0"/>
      <c r="X180" s="0"/>
      <c r="Y180" s="0"/>
    </row>
    <row r="181" customFormat="false" ht="12.8" hidden="false" customHeight="false" outlineLevel="0" collapsed="false">
      <c r="G181" s="25" t="n">
        <v>44743</v>
      </c>
      <c r="H181" s="48" t="s">
        <v>26</v>
      </c>
      <c r="I181" s="5" t="n">
        <v>-30</v>
      </c>
      <c r="J181" s="0" t="s">
        <v>46</v>
      </c>
      <c r="K181" s="0"/>
      <c r="L181" s="0"/>
      <c r="U181" s="0"/>
      <c r="V181" s="0"/>
      <c r="W181" s="0"/>
      <c r="X181" s="0"/>
      <c r="Y181" s="0"/>
    </row>
    <row r="182" customFormat="false" ht="12.8" hidden="false" customHeight="false" outlineLevel="0" collapsed="false">
      <c r="G182" s="25" t="n">
        <v>44743</v>
      </c>
      <c r="H182" s="38" t="s">
        <v>21</v>
      </c>
      <c r="I182" s="5" t="n">
        <v>-15</v>
      </c>
      <c r="J182" s="0" t="s">
        <v>64</v>
      </c>
      <c r="K182" s="0"/>
      <c r="L182" s="0"/>
      <c r="U182" s="0"/>
      <c r="V182" s="0"/>
      <c r="W182" s="0"/>
      <c r="X182" s="0"/>
      <c r="Y182" s="0"/>
    </row>
    <row r="183" customFormat="false" ht="12.8" hidden="false" customHeight="false" outlineLevel="0" collapsed="false">
      <c r="G183" s="25" t="n">
        <v>44744</v>
      </c>
      <c r="H183" s="43" t="s">
        <v>23</v>
      </c>
      <c r="I183" s="5" t="n">
        <v>-50.75</v>
      </c>
      <c r="J183" s="10" t="s">
        <v>37</v>
      </c>
      <c r="K183" s="0"/>
      <c r="L183" s="0"/>
      <c r="U183" s="0"/>
      <c r="V183" s="0"/>
      <c r="W183" s="0"/>
      <c r="X183" s="0"/>
      <c r="Y183" s="0"/>
    </row>
    <row r="184" customFormat="false" ht="12.8" hidden="false" customHeight="false" outlineLevel="0" collapsed="false">
      <c r="G184" s="25" t="n">
        <v>44744</v>
      </c>
      <c r="H184" s="43" t="s">
        <v>23</v>
      </c>
      <c r="I184" s="5" t="n">
        <v>-22</v>
      </c>
      <c r="J184" s="10" t="s">
        <v>37</v>
      </c>
      <c r="K184" s="0"/>
      <c r="L184" s="0"/>
      <c r="U184" s="0"/>
      <c r="V184" s="0"/>
      <c r="W184" s="0"/>
      <c r="X184" s="0"/>
      <c r="Y184" s="0"/>
    </row>
    <row r="185" customFormat="false" ht="12.8" hidden="false" customHeight="false" outlineLevel="0" collapsed="false">
      <c r="G185" s="25" t="n">
        <v>44745</v>
      </c>
      <c r="H185" s="26" t="s">
        <v>10</v>
      </c>
      <c r="I185" s="5" t="n">
        <v>-54</v>
      </c>
      <c r="J185" s="54" t="s">
        <v>38</v>
      </c>
      <c r="K185" s="0"/>
      <c r="L185" s="0"/>
      <c r="U185" s="0"/>
      <c r="V185" s="0"/>
      <c r="W185" s="0"/>
      <c r="X185" s="0"/>
      <c r="Y185" s="0"/>
    </row>
    <row r="186" customFormat="false" ht="12.8" hidden="false" customHeight="false" outlineLevel="0" collapsed="false">
      <c r="G186" s="25" t="n">
        <v>44745</v>
      </c>
      <c r="H186" s="32" t="s">
        <v>15</v>
      </c>
      <c r="I186" s="5" t="n">
        <v>54</v>
      </c>
      <c r="J186" s="54" t="s">
        <v>38</v>
      </c>
      <c r="K186" s="0"/>
      <c r="L186" s="0"/>
      <c r="U186" s="0"/>
      <c r="V186" s="0"/>
      <c r="W186" s="0"/>
      <c r="X186" s="0"/>
      <c r="Y186" s="0"/>
    </row>
    <row r="187" customFormat="false" ht="12.8" hidden="false" customHeight="false" outlineLevel="0" collapsed="false">
      <c r="G187" s="25" t="n">
        <v>44745</v>
      </c>
      <c r="H187" s="32" t="s">
        <v>15</v>
      </c>
      <c r="I187" s="5" t="n">
        <v>-51.47</v>
      </c>
      <c r="J187" s="54" t="s">
        <v>37</v>
      </c>
      <c r="K187" s="0"/>
      <c r="L187" s="0"/>
      <c r="U187" s="0"/>
      <c r="V187" s="0"/>
      <c r="W187" s="0"/>
      <c r="X187" s="0"/>
      <c r="Y187" s="0"/>
    </row>
    <row r="188" customFormat="false" ht="12.8" hidden="false" customHeight="false" outlineLevel="0" collapsed="false">
      <c r="G188" s="25" t="n">
        <v>44745</v>
      </c>
      <c r="H188" s="26" t="s">
        <v>10</v>
      </c>
      <c r="I188" s="5" t="n">
        <v>-22.92</v>
      </c>
      <c r="J188" s="54" t="s">
        <v>38</v>
      </c>
      <c r="K188" s="0"/>
      <c r="L188" s="0"/>
      <c r="U188" s="0"/>
      <c r="V188" s="0"/>
      <c r="W188" s="0"/>
      <c r="X188" s="0"/>
      <c r="Y188" s="0"/>
    </row>
    <row r="189" customFormat="false" ht="12.8" hidden="false" customHeight="false" outlineLevel="0" collapsed="false">
      <c r="G189" s="25" t="n">
        <v>44745</v>
      </c>
      <c r="H189" s="32" t="s">
        <v>15</v>
      </c>
      <c r="I189" s="5" t="n">
        <v>22.92</v>
      </c>
      <c r="J189" s="54" t="s">
        <v>38</v>
      </c>
      <c r="K189" s="0"/>
      <c r="L189" s="0"/>
      <c r="U189" s="0"/>
      <c r="V189" s="0"/>
      <c r="W189" s="0"/>
      <c r="X189" s="0"/>
      <c r="Y189" s="0"/>
    </row>
    <row r="190" customFormat="false" ht="12.8" hidden="false" customHeight="false" outlineLevel="0" collapsed="false">
      <c r="G190" s="25" t="n">
        <v>44745</v>
      </c>
      <c r="H190" s="32" t="s">
        <v>15</v>
      </c>
      <c r="I190" s="5" t="n">
        <v>-27</v>
      </c>
      <c r="J190" s="54" t="s">
        <v>37</v>
      </c>
      <c r="K190" s="0"/>
      <c r="L190" s="0"/>
      <c r="U190" s="0"/>
      <c r="V190" s="0"/>
      <c r="W190" s="0"/>
      <c r="X190" s="0"/>
      <c r="Y190" s="0"/>
    </row>
    <row r="191" customFormat="false" ht="12.8" hidden="false" customHeight="false" outlineLevel="0" collapsed="false">
      <c r="G191" s="25" t="n">
        <v>44746</v>
      </c>
      <c r="H191" s="52" t="s">
        <v>14</v>
      </c>
      <c r="I191" s="5" t="n">
        <v>-2005</v>
      </c>
      <c r="J191" s="10" t="s">
        <v>65</v>
      </c>
      <c r="K191" s="0"/>
      <c r="L191" s="0"/>
      <c r="U191" s="0"/>
      <c r="V191" s="0"/>
      <c r="W191" s="0"/>
      <c r="X191" s="0"/>
      <c r="Y191" s="0"/>
    </row>
    <row r="192" customFormat="false" ht="12.8" hidden="false" customHeight="false" outlineLevel="0" collapsed="false">
      <c r="G192" s="25" t="n">
        <v>44746</v>
      </c>
      <c r="H192" s="48" t="s">
        <v>26</v>
      </c>
      <c r="I192" s="5" t="n">
        <v>2005</v>
      </c>
      <c r="J192" s="10" t="s">
        <v>66</v>
      </c>
      <c r="K192" s="0"/>
      <c r="L192" s="0"/>
      <c r="U192" s="0"/>
      <c r="V192" s="0"/>
      <c r="W192" s="0"/>
      <c r="X192" s="0"/>
      <c r="Y192" s="0"/>
    </row>
    <row r="193" customFormat="false" ht="12.8" hidden="false" customHeight="false" outlineLevel="0" collapsed="false">
      <c r="G193" s="25" t="n">
        <v>44746</v>
      </c>
      <c r="H193" s="48" t="s">
        <v>26</v>
      </c>
      <c r="I193" s="5" t="n">
        <v>-3</v>
      </c>
      <c r="J193" s="10" t="s">
        <v>67</v>
      </c>
      <c r="K193" s="0"/>
      <c r="L193" s="0"/>
      <c r="U193" s="0"/>
      <c r="V193" s="0"/>
      <c r="W193" s="0"/>
      <c r="X193" s="0"/>
      <c r="Y193" s="0"/>
    </row>
    <row r="194" customFormat="false" ht="12.8" hidden="false" customHeight="false" outlineLevel="0" collapsed="false">
      <c r="G194" s="25" t="n">
        <v>44746</v>
      </c>
      <c r="H194" s="52" t="s">
        <v>14</v>
      </c>
      <c r="I194" s="5" t="n">
        <v>0.5</v>
      </c>
      <c r="J194" s="10" t="s">
        <v>40</v>
      </c>
      <c r="K194" s="0"/>
      <c r="L194" s="0"/>
      <c r="U194" s="0"/>
      <c r="V194" s="0"/>
      <c r="W194" s="0"/>
      <c r="X194" s="0"/>
      <c r="Y194" s="0"/>
    </row>
    <row r="195" customFormat="false" ht="12.8" hidden="false" customHeight="false" outlineLevel="0" collapsed="false">
      <c r="G195" s="25" t="n">
        <v>44746</v>
      </c>
      <c r="H195" s="48" t="s">
        <v>26</v>
      </c>
      <c r="I195" s="5" t="n">
        <v>-2000</v>
      </c>
      <c r="J195" s="10" t="s">
        <v>68</v>
      </c>
      <c r="K195" s="0"/>
      <c r="L195" s="0"/>
      <c r="U195" s="0"/>
      <c r="V195" s="0"/>
      <c r="W195" s="0"/>
      <c r="X195" s="0"/>
      <c r="Y195" s="0"/>
    </row>
    <row r="196" customFormat="false" ht="12.8" hidden="false" customHeight="false" outlineLevel="0" collapsed="false">
      <c r="G196" s="25" t="n">
        <v>44746</v>
      </c>
      <c r="H196" s="32" t="s">
        <v>15</v>
      </c>
      <c r="I196" s="5" t="n">
        <v>2000</v>
      </c>
      <c r="J196" s="10" t="s">
        <v>68</v>
      </c>
      <c r="K196" s="0"/>
      <c r="L196" s="0"/>
      <c r="U196" s="0"/>
      <c r="V196" s="0"/>
      <c r="W196" s="0"/>
      <c r="X196" s="0"/>
      <c r="Y196" s="0"/>
    </row>
    <row r="197" customFormat="false" ht="12.8" hidden="false" customHeight="false" outlineLevel="0" collapsed="false">
      <c r="G197" s="25" t="n">
        <v>44746</v>
      </c>
      <c r="H197" s="26" t="s">
        <v>10</v>
      </c>
      <c r="I197" s="5" t="n">
        <f aca="false">-75-5</f>
        <v>-80</v>
      </c>
      <c r="J197" s="54" t="s">
        <v>38</v>
      </c>
      <c r="K197" s="0"/>
      <c r="L197" s="0"/>
      <c r="U197" s="0"/>
      <c r="V197" s="0"/>
      <c r="W197" s="0"/>
      <c r="X197" s="0"/>
      <c r="Y197" s="0"/>
    </row>
    <row r="198" customFormat="false" ht="12.8" hidden="false" customHeight="false" outlineLevel="0" collapsed="false">
      <c r="G198" s="25" t="n">
        <v>44746</v>
      </c>
      <c r="H198" s="32" t="s">
        <v>15</v>
      </c>
      <c r="I198" s="5" t="n">
        <f aca="false">75+5</f>
        <v>80</v>
      </c>
      <c r="J198" s="54" t="s">
        <v>38</v>
      </c>
      <c r="K198" s="0"/>
      <c r="L198" s="0"/>
      <c r="U198" s="0"/>
      <c r="V198" s="0"/>
      <c r="W198" s="0"/>
      <c r="X198" s="0"/>
      <c r="Y198" s="0"/>
    </row>
    <row r="199" customFormat="false" ht="12.8" hidden="false" customHeight="false" outlineLevel="0" collapsed="false">
      <c r="G199" s="25" t="n">
        <v>44746</v>
      </c>
      <c r="H199" s="32" t="s">
        <v>15</v>
      </c>
      <c r="I199" s="5" t="n">
        <f aca="false">-55.84-22</f>
        <v>-77.84</v>
      </c>
      <c r="J199" s="54" t="s">
        <v>37</v>
      </c>
      <c r="K199" s="0"/>
      <c r="L199" s="0"/>
      <c r="U199" s="0"/>
      <c r="V199" s="0"/>
      <c r="W199" s="0"/>
      <c r="X199" s="0"/>
      <c r="Y199" s="0"/>
    </row>
    <row r="200" customFormat="false" ht="12.8" hidden="false" customHeight="false" outlineLevel="0" collapsed="false">
      <c r="G200" s="25" t="n">
        <v>44746</v>
      </c>
      <c r="H200" s="32" t="s">
        <v>15</v>
      </c>
      <c r="I200" s="5" t="n">
        <v>-2000</v>
      </c>
      <c r="J200" s="0" t="s">
        <v>57</v>
      </c>
      <c r="K200" s="0"/>
      <c r="L200" s="0"/>
      <c r="U200" s="0"/>
      <c r="V200" s="0"/>
      <c r="W200" s="0"/>
      <c r="X200" s="0"/>
      <c r="Y200" s="0"/>
    </row>
    <row r="201" customFormat="false" ht="12.8" hidden="false" customHeight="false" outlineLevel="0" collapsed="false">
      <c r="G201" s="25" t="n">
        <v>44746</v>
      </c>
      <c r="H201" s="26" t="s">
        <v>10</v>
      </c>
      <c r="I201" s="5" t="n">
        <v>2000</v>
      </c>
      <c r="J201" s="54" t="s">
        <v>57</v>
      </c>
      <c r="K201" s="0"/>
      <c r="L201" s="0"/>
      <c r="U201" s="0"/>
      <c r="V201" s="0"/>
      <c r="W201" s="0"/>
      <c r="X201" s="0"/>
      <c r="Y201" s="0"/>
    </row>
    <row r="202" customFormat="false" ht="12.8" hidden="false" customHeight="false" outlineLevel="0" collapsed="false">
      <c r="G202" s="25" t="n">
        <v>44747</v>
      </c>
      <c r="H202" s="26" t="s">
        <v>10</v>
      </c>
      <c r="I202" s="5" t="n">
        <f aca="false">-55-20</f>
        <v>-75</v>
      </c>
      <c r="J202" s="54" t="s">
        <v>38</v>
      </c>
      <c r="K202" s="0"/>
      <c r="L202" s="0"/>
      <c r="U202" s="0"/>
      <c r="V202" s="0"/>
      <c r="W202" s="0"/>
      <c r="X202" s="0"/>
      <c r="Y202" s="0"/>
    </row>
    <row r="203" customFormat="false" ht="12.8" hidden="false" customHeight="false" outlineLevel="0" collapsed="false">
      <c r="G203" s="25" t="n">
        <v>44747</v>
      </c>
      <c r="H203" s="32" t="s">
        <v>15</v>
      </c>
      <c r="I203" s="5" t="n">
        <f aca="false">55+20</f>
        <v>75</v>
      </c>
      <c r="J203" s="54" t="s">
        <v>38</v>
      </c>
      <c r="K203" s="0"/>
      <c r="L203" s="0"/>
      <c r="U203" s="0"/>
      <c r="V203" s="0"/>
      <c r="W203" s="0"/>
      <c r="X203" s="0"/>
      <c r="Y203" s="0"/>
    </row>
    <row r="204" customFormat="false" ht="12.8" hidden="false" customHeight="false" outlineLevel="0" collapsed="false">
      <c r="G204" s="25" t="n">
        <v>44747</v>
      </c>
      <c r="H204" s="32" t="s">
        <v>15</v>
      </c>
      <c r="I204" s="5" t="n">
        <f aca="false">-53.55-4.02</f>
        <v>-57.57</v>
      </c>
      <c r="J204" s="54" t="s">
        <v>37</v>
      </c>
      <c r="K204" s="0"/>
      <c r="L204" s="0"/>
      <c r="U204" s="0"/>
      <c r="V204" s="0"/>
      <c r="W204" s="0"/>
      <c r="X204" s="0"/>
      <c r="Y204" s="0"/>
    </row>
    <row r="205" customFormat="false" ht="12.8" hidden="false" customHeight="false" outlineLevel="0" collapsed="false">
      <c r="G205" s="25" t="n">
        <v>44748</v>
      </c>
      <c r="H205" s="26" t="s">
        <v>10</v>
      </c>
      <c r="I205" s="5" t="n">
        <v>-56</v>
      </c>
      <c r="J205" s="54" t="s">
        <v>38</v>
      </c>
      <c r="K205" s="0"/>
      <c r="L205" s="0"/>
      <c r="U205" s="0"/>
      <c r="V205" s="0"/>
      <c r="W205" s="0"/>
      <c r="X205" s="0"/>
      <c r="Y205" s="0"/>
    </row>
    <row r="206" customFormat="false" ht="12.8" hidden="false" customHeight="false" outlineLevel="0" collapsed="false">
      <c r="G206" s="25" t="n">
        <v>44748</v>
      </c>
      <c r="H206" s="32" t="s">
        <v>15</v>
      </c>
      <c r="I206" s="5" t="n">
        <v>56</v>
      </c>
      <c r="J206" s="54" t="s">
        <v>38</v>
      </c>
      <c r="K206" s="0"/>
      <c r="L206" s="0"/>
      <c r="U206" s="0"/>
      <c r="V206" s="0"/>
      <c r="W206" s="0"/>
      <c r="X206" s="0"/>
      <c r="Y206" s="0"/>
    </row>
    <row r="207" customFormat="false" ht="12.8" hidden="false" customHeight="false" outlineLevel="0" collapsed="false">
      <c r="G207" s="25" t="n">
        <v>44748</v>
      </c>
      <c r="H207" s="32" t="s">
        <v>15</v>
      </c>
      <c r="I207" s="5" t="n">
        <v>-70.48</v>
      </c>
      <c r="J207" s="54" t="s">
        <v>37</v>
      </c>
      <c r="K207" s="0"/>
      <c r="L207" s="0"/>
      <c r="U207" s="0"/>
      <c r="V207" s="0"/>
      <c r="W207" s="0"/>
      <c r="X207" s="0"/>
      <c r="Y207" s="0"/>
    </row>
    <row r="208" customFormat="false" ht="12.8" hidden="false" customHeight="false" outlineLevel="0" collapsed="false">
      <c r="G208" s="25" t="n">
        <v>44749</v>
      </c>
      <c r="H208" s="26" t="s">
        <v>10</v>
      </c>
      <c r="I208" s="5" t="n">
        <v>-70</v>
      </c>
      <c r="J208" s="54" t="s">
        <v>38</v>
      </c>
      <c r="K208" s="0"/>
      <c r="L208" s="0"/>
      <c r="U208" s="0"/>
      <c r="V208" s="0"/>
      <c r="W208" s="0"/>
      <c r="X208" s="0"/>
      <c r="Y208" s="0"/>
    </row>
    <row r="209" customFormat="false" ht="12.8" hidden="false" customHeight="false" outlineLevel="0" collapsed="false">
      <c r="G209" s="25" t="n">
        <v>44749</v>
      </c>
      <c r="H209" s="32" t="s">
        <v>15</v>
      </c>
      <c r="I209" s="5" t="n">
        <v>70</v>
      </c>
      <c r="J209" s="54" t="s">
        <v>38</v>
      </c>
      <c r="K209" s="0"/>
      <c r="L209" s="0"/>
      <c r="U209" s="0"/>
      <c r="V209" s="0"/>
      <c r="W209" s="0"/>
      <c r="X209" s="0"/>
      <c r="Y209" s="0"/>
    </row>
    <row r="210" customFormat="false" ht="12.8" hidden="false" customHeight="false" outlineLevel="0" collapsed="false">
      <c r="G210" s="25" t="n">
        <v>44749</v>
      </c>
      <c r="H210" s="32" t="s">
        <v>15</v>
      </c>
      <c r="I210" s="5" t="n">
        <v>-55.65</v>
      </c>
      <c r="J210" s="54" t="s">
        <v>37</v>
      </c>
      <c r="K210" s="0"/>
      <c r="L210" s="0"/>
      <c r="U210" s="0"/>
      <c r="V210" s="0"/>
      <c r="W210" s="0"/>
      <c r="X210" s="0"/>
      <c r="Y210" s="0"/>
    </row>
    <row r="211" customFormat="false" ht="12.8" hidden="false" customHeight="false" outlineLevel="0" collapsed="false">
      <c r="G211" s="25" t="n">
        <v>44750</v>
      </c>
      <c r="H211" s="26" t="s">
        <v>10</v>
      </c>
      <c r="I211" s="5" t="n">
        <v>-36</v>
      </c>
      <c r="J211" s="54" t="s">
        <v>38</v>
      </c>
      <c r="K211" s="5"/>
      <c r="L211" s="0"/>
      <c r="U211" s="0"/>
      <c r="V211" s="0"/>
      <c r="W211" s="0"/>
      <c r="X211" s="0"/>
      <c r="Y211" s="0"/>
    </row>
    <row r="212" customFormat="false" ht="12.8" hidden="false" customHeight="false" outlineLevel="0" collapsed="false">
      <c r="G212" s="25" t="n">
        <v>44750</v>
      </c>
      <c r="H212" s="32" t="s">
        <v>15</v>
      </c>
      <c r="I212" s="5" t="n">
        <v>36</v>
      </c>
      <c r="J212" s="54" t="s">
        <v>38</v>
      </c>
      <c r="K212" s="5"/>
      <c r="L212" s="0"/>
      <c r="U212" s="0"/>
      <c r="V212" s="0"/>
      <c r="W212" s="0"/>
      <c r="X212" s="0"/>
      <c r="Y212" s="0"/>
    </row>
    <row r="213" customFormat="false" ht="12.8" hidden="false" customHeight="false" outlineLevel="0" collapsed="false">
      <c r="G213" s="25" t="n">
        <v>44750</v>
      </c>
      <c r="H213" s="32" t="s">
        <v>15</v>
      </c>
      <c r="I213" s="5" t="n">
        <v>-50.47</v>
      </c>
      <c r="J213" s="54" t="s">
        <v>37</v>
      </c>
      <c r="K213" s="0"/>
      <c r="L213" s="0"/>
      <c r="U213" s="0"/>
      <c r="V213" s="0"/>
      <c r="W213" s="0"/>
      <c r="X213" s="0"/>
      <c r="Y213" s="0"/>
    </row>
    <row r="214" customFormat="false" ht="12.8" hidden="false" customHeight="false" outlineLevel="0" collapsed="false">
      <c r="G214" s="25" t="n">
        <v>44751</v>
      </c>
      <c r="H214" s="26" t="s">
        <v>10</v>
      </c>
      <c r="I214" s="5" t="n">
        <v>-50</v>
      </c>
      <c r="J214" s="54" t="s">
        <v>38</v>
      </c>
      <c r="K214" s="0"/>
      <c r="L214" s="0"/>
      <c r="U214" s="0"/>
      <c r="V214" s="0"/>
      <c r="W214" s="0"/>
      <c r="X214" s="0"/>
      <c r="Y214" s="0"/>
    </row>
    <row r="215" customFormat="false" ht="12.8" hidden="false" customHeight="false" outlineLevel="0" collapsed="false">
      <c r="G215" s="25" t="n">
        <v>44751</v>
      </c>
      <c r="H215" s="32" t="s">
        <v>15</v>
      </c>
      <c r="I215" s="5" t="n">
        <v>50</v>
      </c>
      <c r="J215" s="54" t="s">
        <v>38</v>
      </c>
      <c r="K215" s="0"/>
      <c r="L215" s="0"/>
      <c r="U215" s="0"/>
      <c r="V215" s="0"/>
      <c r="W215" s="0"/>
      <c r="X215" s="0"/>
      <c r="Y215" s="0"/>
    </row>
    <row r="216" customFormat="false" ht="12.8" hidden="false" customHeight="false" outlineLevel="0" collapsed="false">
      <c r="G216" s="25" t="n">
        <v>44751</v>
      </c>
      <c r="H216" s="32" t="s">
        <v>15</v>
      </c>
      <c r="I216" s="5" t="n">
        <v>-50.47</v>
      </c>
      <c r="J216" s="54" t="s">
        <v>37</v>
      </c>
      <c r="K216" s="0"/>
      <c r="L216" s="0"/>
      <c r="U216" s="0"/>
      <c r="V216" s="0"/>
      <c r="W216" s="0"/>
      <c r="X216" s="0"/>
      <c r="Y216" s="0"/>
    </row>
    <row r="217" customFormat="false" ht="12.8" hidden="false" customHeight="false" outlineLevel="0" collapsed="false">
      <c r="G217" s="25" t="n">
        <v>44752</v>
      </c>
      <c r="H217" s="26" t="s">
        <v>10</v>
      </c>
      <c r="I217" s="5" t="n">
        <v>-51</v>
      </c>
      <c r="J217" s="54" t="s">
        <v>38</v>
      </c>
      <c r="K217" s="0"/>
      <c r="L217" s="0"/>
      <c r="U217" s="0"/>
      <c r="V217" s="0"/>
      <c r="W217" s="0"/>
      <c r="X217" s="0"/>
      <c r="Y217" s="0"/>
    </row>
    <row r="218" customFormat="false" ht="12.8" hidden="false" customHeight="false" outlineLevel="0" collapsed="false">
      <c r="G218" s="25" t="n">
        <v>44752</v>
      </c>
      <c r="H218" s="32" t="s">
        <v>15</v>
      </c>
      <c r="I218" s="5" t="n">
        <v>51</v>
      </c>
      <c r="J218" s="54" t="s">
        <v>38</v>
      </c>
      <c r="K218" s="0"/>
      <c r="L218" s="0"/>
      <c r="U218" s="0"/>
      <c r="V218" s="0"/>
      <c r="W218" s="0"/>
      <c r="X218" s="0"/>
      <c r="Y218" s="0"/>
    </row>
    <row r="219" customFormat="false" ht="12.8" hidden="false" customHeight="false" outlineLevel="0" collapsed="false">
      <c r="G219" s="25" t="n">
        <v>44752</v>
      </c>
      <c r="H219" s="32" t="s">
        <v>15</v>
      </c>
      <c r="I219" s="5" t="n">
        <v>-48.16</v>
      </c>
      <c r="J219" s="54" t="s">
        <v>37</v>
      </c>
      <c r="K219" s="0"/>
      <c r="L219" s="0"/>
      <c r="U219" s="0"/>
      <c r="V219" s="0"/>
      <c r="W219" s="0"/>
      <c r="X219" s="0"/>
      <c r="Y219" s="0"/>
    </row>
    <row r="220" customFormat="false" ht="12.8" hidden="false" customHeight="false" outlineLevel="0" collapsed="false">
      <c r="G220" s="25" t="n">
        <v>44752</v>
      </c>
      <c r="H220" s="26" t="s">
        <v>10</v>
      </c>
      <c r="I220" s="5" t="n">
        <v>-28</v>
      </c>
      <c r="J220" s="54" t="s">
        <v>38</v>
      </c>
      <c r="K220" s="0"/>
      <c r="L220" s="0"/>
      <c r="U220" s="0"/>
      <c r="V220" s="0"/>
      <c r="W220" s="0"/>
      <c r="X220" s="0"/>
      <c r="Y220" s="0"/>
    </row>
    <row r="221" customFormat="false" ht="12.8" hidden="false" customHeight="false" outlineLevel="0" collapsed="false">
      <c r="G221" s="25" t="n">
        <v>44752</v>
      </c>
      <c r="H221" s="32" t="s">
        <v>15</v>
      </c>
      <c r="I221" s="5" t="n">
        <v>28</v>
      </c>
      <c r="J221" s="54" t="s">
        <v>38</v>
      </c>
      <c r="K221" s="0"/>
      <c r="L221" s="0"/>
      <c r="U221" s="0"/>
      <c r="V221" s="0"/>
      <c r="W221" s="0"/>
      <c r="X221" s="0"/>
      <c r="Y221" s="0"/>
    </row>
    <row r="222" customFormat="false" ht="12.8" hidden="false" customHeight="false" outlineLevel="0" collapsed="false">
      <c r="G222" s="25" t="n">
        <v>44752</v>
      </c>
      <c r="H222" s="32" t="s">
        <v>15</v>
      </c>
      <c r="I222" s="5" t="n">
        <f aca="false">-23.87-7.99</f>
        <v>-31.86</v>
      </c>
      <c r="J222" s="54" t="s">
        <v>37</v>
      </c>
      <c r="K222" s="0"/>
      <c r="L222" s="0"/>
      <c r="U222" s="0"/>
      <c r="V222" s="0"/>
      <c r="W222" s="0"/>
      <c r="X222" s="0"/>
      <c r="Y222" s="0"/>
    </row>
    <row r="223" customFormat="false" ht="12.8" hidden="false" customHeight="false" outlineLevel="0" collapsed="false">
      <c r="G223" s="25" t="n">
        <v>44753</v>
      </c>
      <c r="H223" s="26" t="s">
        <v>10</v>
      </c>
      <c r="I223" s="5" t="n">
        <v>-52</v>
      </c>
      <c r="J223" s="54" t="s">
        <v>38</v>
      </c>
      <c r="K223" s="0"/>
      <c r="L223" s="0"/>
      <c r="U223" s="0"/>
      <c r="V223" s="0"/>
      <c r="W223" s="0"/>
      <c r="X223" s="0"/>
      <c r="Y223" s="0"/>
    </row>
    <row r="224" customFormat="false" ht="12.8" hidden="false" customHeight="false" outlineLevel="0" collapsed="false">
      <c r="G224" s="25" t="n">
        <v>44753</v>
      </c>
      <c r="H224" s="32" t="s">
        <v>15</v>
      </c>
      <c r="I224" s="5" t="n">
        <v>52</v>
      </c>
      <c r="J224" s="54" t="s">
        <v>38</v>
      </c>
      <c r="K224" s="0"/>
      <c r="L224" s="0"/>
      <c r="U224" s="0"/>
      <c r="V224" s="0"/>
      <c r="W224" s="0"/>
      <c r="X224" s="0"/>
      <c r="Y224" s="0"/>
    </row>
    <row r="225" customFormat="false" ht="12.8" hidden="false" customHeight="false" outlineLevel="0" collapsed="false">
      <c r="G225" s="25" t="n">
        <v>44753</v>
      </c>
      <c r="H225" s="32" t="s">
        <v>15</v>
      </c>
      <c r="I225" s="5" t="n">
        <v>-52.82</v>
      </c>
      <c r="J225" s="54" t="s">
        <v>37</v>
      </c>
      <c r="K225" s="0"/>
      <c r="L225" s="0"/>
      <c r="U225" s="0"/>
      <c r="V225" s="0"/>
      <c r="W225" s="0"/>
      <c r="X225" s="0"/>
      <c r="Y225" s="0"/>
    </row>
    <row r="226" customFormat="false" ht="12.8" hidden="false" customHeight="false" outlineLevel="0" collapsed="false">
      <c r="G226" s="25" t="n">
        <v>44753</v>
      </c>
      <c r="H226" s="26" t="s">
        <v>10</v>
      </c>
      <c r="I226" s="5" t="n">
        <v>-25</v>
      </c>
      <c r="J226" s="54" t="s">
        <v>38</v>
      </c>
      <c r="K226" s="0"/>
      <c r="L226" s="0"/>
      <c r="U226" s="0"/>
      <c r="V226" s="0"/>
      <c r="W226" s="0"/>
      <c r="X226" s="0"/>
      <c r="Y226" s="0"/>
    </row>
    <row r="227" customFormat="false" ht="12.8" hidden="false" customHeight="false" outlineLevel="0" collapsed="false">
      <c r="G227" s="25" t="n">
        <v>44753</v>
      </c>
      <c r="H227" s="32" t="s">
        <v>15</v>
      </c>
      <c r="I227" s="5" t="n">
        <v>25</v>
      </c>
      <c r="J227" s="54" t="s">
        <v>38</v>
      </c>
      <c r="K227" s="0"/>
      <c r="L227" s="0"/>
      <c r="U227" s="0"/>
      <c r="V227" s="0"/>
      <c r="W227" s="0"/>
      <c r="X227" s="0"/>
      <c r="Y227" s="0"/>
    </row>
    <row r="228" customFormat="false" ht="12.8" hidden="false" customHeight="false" outlineLevel="0" collapsed="false">
      <c r="G228" s="25" t="n">
        <v>44753</v>
      </c>
      <c r="H228" s="32" t="s">
        <v>15</v>
      </c>
      <c r="I228" s="5" t="n">
        <v>-22.83</v>
      </c>
      <c r="J228" s="54" t="s">
        <v>37</v>
      </c>
      <c r="K228" s="0"/>
      <c r="L228" s="0"/>
      <c r="U228" s="0"/>
      <c r="V228" s="0"/>
      <c r="W228" s="0"/>
      <c r="X228" s="0"/>
      <c r="Y228" s="0"/>
    </row>
    <row r="229" customFormat="false" ht="12.8" hidden="false" customHeight="false" outlineLevel="0" collapsed="false">
      <c r="G229" s="25" t="n">
        <v>44754</v>
      </c>
      <c r="H229" s="26" t="s">
        <v>10</v>
      </c>
      <c r="I229" s="5" t="n">
        <v>-50</v>
      </c>
      <c r="J229" s="54" t="s">
        <v>38</v>
      </c>
      <c r="K229" s="0"/>
      <c r="L229" s="0"/>
      <c r="U229" s="0"/>
      <c r="V229" s="0"/>
      <c r="W229" s="0"/>
      <c r="X229" s="0"/>
      <c r="Y229" s="0"/>
    </row>
    <row r="230" customFormat="false" ht="12.8" hidden="false" customHeight="false" outlineLevel="0" collapsed="false">
      <c r="G230" s="25" t="n">
        <v>44754</v>
      </c>
      <c r="H230" s="32" t="s">
        <v>15</v>
      </c>
      <c r="I230" s="5" t="n">
        <v>50</v>
      </c>
      <c r="J230" s="54" t="s">
        <v>38</v>
      </c>
      <c r="K230" s="0"/>
      <c r="L230" s="0"/>
      <c r="U230" s="0"/>
      <c r="V230" s="0"/>
      <c r="W230" s="0"/>
      <c r="X230" s="0"/>
      <c r="Y230" s="0"/>
    </row>
    <row r="231" customFormat="false" ht="12.8" hidden="false" customHeight="false" outlineLevel="0" collapsed="false">
      <c r="G231" s="25" t="n">
        <v>44754</v>
      </c>
      <c r="H231" s="32" t="s">
        <v>15</v>
      </c>
      <c r="I231" s="5" t="n">
        <v>-55.04</v>
      </c>
      <c r="J231" s="54" t="s">
        <v>37</v>
      </c>
      <c r="K231" s="0"/>
      <c r="L231" s="0"/>
      <c r="U231" s="0"/>
      <c r="V231" s="0"/>
      <c r="W231" s="0"/>
      <c r="X231" s="0"/>
      <c r="Y231" s="0"/>
    </row>
    <row r="232" customFormat="false" ht="12.8" hidden="false" customHeight="false" outlineLevel="0" collapsed="false">
      <c r="G232" s="25" t="n">
        <v>44754</v>
      </c>
      <c r="H232" s="26" t="s">
        <v>10</v>
      </c>
      <c r="I232" s="5" t="n">
        <v>-25</v>
      </c>
      <c r="J232" s="54" t="s">
        <v>38</v>
      </c>
      <c r="K232" s="0"/>
      <c r="L232" s="0"/>
      <c r="U232" s="0"/>
      <c r="V232" s="0"/>
      <c r="W232" s="0"/>
      <c r="X232" s="0"/>
      <c r="Y232" s="0"/>
    </row>
    <row r="233" customFormat="false" ht="12.8" hidden="false" customHeight="false" outlineLevel="0" collapsed="false">
      <c r="G233" s="25" t="n">
        <v>44754</v>
      </c>
      <c r="H233" s="32" t="s">
        <v>15</v>
      </c>
      <c r="I233" s="5" t="n">
        <v>25</v>
      </c>
      <c r="J233" s="54" t="s">
        <v>38</v>
      </c>
      <c r="K233" s="0"/>
      <c r="L233" s="0"/>
      <c r="U233" s="0"/>
      <c r="V233" s="0"/>
      <c r="W233" s="0"/>
      <c r="X233" s="0"/>
      <c r="Y233" s="0"/>
    </row>
    <row r="234" customFormat="false" ht="12.8" hidden="false" customHeight="false" outlineLevel="0" collapsed="false">
      <c r="G234" s="25" t="n">
        <v>44754</v>
      </c>
      <c r="H234" s="32" t="s">
        <v>15</v>
      </c>
      <c r="I234" s="5" t="n">
        <v>-22</v>
      </c>
      <c r="J234" s="54" t="s">
        <v>37</v>
      </c>
      <c r="K234" s="0"/>
      <c r="L234" s="0"/>
      <c r="U234" s="0"/>
      <c r="V234" s="0"/>
      <c r="W234" s="0"/>
      <c r="X234" s="0"/>
      <c r="Y234" s="0"/>
    </row>
    <row r="235" customFormat="false" ht="12.8" hidden="false" customHeight="false" outlineLevel="0" collapsed="false">
      <c r="G235" s="25" t="n">
        <v>44755</v>
      </c>
      <c r="H235" s="26" t="s">
        <v>10</v>
      </c>
      <c r="I235" s="5" t="n">
        <v>-55</v>
      </c>
      <c r="J235" s="54" t="s">
        <v>38</v>
      </c>
      <c r="K235" s="0"/>
      <c r="L235" s="0"/>
      <c r="U235" s="0"/>
      <c r="V235" s="0"/>
      <c r="W235" s="0"/>
      <c r="X235" s="0"/>
      <c r="Y235" s="0"/>
    </row>
    <row r="236" customFormat="false" ht="12.8" hidden="false" customHeight="false" outlineLevel="0" collapsed="false">
      <c r="G236" s="25" t="n">
        <v>44755</v>
      </c>
      <c r="H236" s="32" t="s">
        <v>15</v>
      </c>
      <c r="I236" s="5" t="n">
        <v>55</v>
      </c>
      <c r="J236" s="54" t="s">
        <v>38</v>
      </c>
      <c r="K236" s="0"/>
      <c r="L236" s="0"/>
      <c r="U236" s="0"/>
      <c r="V236" s="0"/>
      <c r="W236" s="0"/>
      <c r="X236" s="0"/>
      <c r="Y236" s="0"/>
    </row>
    <row r="237" customFormat="false" ht="12.8" hidden="false" customHeight="false" outlineLevel="0" collapsed="false">
      <c r="G237" s="25" t="n">
        <v>44755</v>
      </c>
      <c r="H237" s="32" t="s">
        <v>15</v>
      </c>
      <c r="I237" s="5" t="n">
        <v>-52.17</v>
      </c>
      <c r="J237" s="54" t="s">
        <v>37</v>
      </c>
      <c r="K237" s="0"/>
      <c r="L237" s="0"/>
      <c r="U237" s="0"/>
      <c r="V237" s="0"/>
      <c r="W237" s="0"/>
      <c r="X237" s="0"/>
      <c r="Y237" s="0"/>
    </row>
    <row r="238" customFormat="false" ht="12.8" hidden="false" customHeight="false" outlineLevel="0" collapsed="false">
      <c r="G238" s="25" t="n">
        <v>44755</v>
      </c>
      <c r="H238" s="26" t="s">
        <v>10</v>
      </c>
      <c r="I238" s="5" t="n">
        <v>-30</v>
      </c>
      <c r="J238" s="54" t="s">
        <v>38</v>
      </c>
      <c r="K238" s="0"/>
      <c r="L238" s="0"/>
      <c r="U238" s="0"/>
      <c r="V238" s="0"/>
      <c r="W238" s="0"/>
      <c r="X238" s="0"/>
      <c r="Y238" s="0"/>
    </row>
    <row r="239" customFormat="false" ht="12.8" hidden="false" customHeight="false" outlineLevel="0" collapsed="false">
      <c r="G239" s="25" t="n">
        <v>44755</v>
      </c>
      <c r="H239" s="32" t="s">
        <v>15</v>
      </c>
      <c r="I239" s="5" t="n">
        <v>30</v>
      </c>
      <c r="J239" s="54" t="s">
        <v>38</v>
      </c>
      <c r="K239" s="0"/>
      <c r="L239" s="0"/>
      <c r="U239" s="0"/>
      <c r="V239" s="0"/>
      <c r="W239" s="0"/>
      <c r="X239" s="0"/>
      <c r="Y239" s="0"/>
    </row>
    <row r="240" customFormat="false" ht="12.8" hidden="false" customHeight="false" outlineLevel="0" collapsed="false">
      <c r="G240" s="25" t="n">
        <v>44755</v>
      </c>
      <c r="H240" s="32" t="s">
        <v>15</v>
      </c>
      <c r="I240" s="5" t="n">
        <v>-33.08</v>
      </c>
      <c r="J240" s="54" t="s">
        <v>37</v>
      </c>
      <c r="K240" s="0"/>
      <c r="L240" s="0"/>
      <c r="U240" s="0"/>
      <c r="V240" s="0"/>
      <c r="W240" s="0"/>
      <c r="X240" s="0"/>
      <c r="Y240" s="0"/>
    </row>
    <row r="241" customFormat="false" ht="12.8" hidden="false" customHeight="false" outlineLevel="0" collapsed="false">
      <c r="G241" s="25" t="n">
        <v>44756</v>
      </c>
      <c r="H241" s="26" t="s">
        <v>10</v>
      </c>
      <c r="I241" s="5" t="n">
        <v>-55</v>
      </c>
      <c r="J241" s="54" t="s">
        <v>38</v>
      </c>
      <c r="K241" s="0"/>
      <c r="L241" s="0"/>
      <c r="U241" s="0"/>
      <c r="V241" s="0"/>
      <c r="W241" s="0"/>
      <c r="X241" s="0"/>
      <c r="Y241" s="0"/>
    </row>
    <row r="242" customFormat="false" ht="12.8" hidden="false" customHeight="false" outlineLevel="0" collapsed="false">
      <c r="G242" s="25" t="n">
        <v>44756</v>
      </c>
      <c r="H242" s="32" t="s">
        <v>15</v>
      </c>
      <c r="I242" s="5" t="n">
        <v>55</v>
      </c>
      <c r="J242" s="54" t="s">
        <v>38</v>
      </c>
      <c r="K242" s="0"/>
      <c r="L242" s="0"/>
      <c r="U242" s="0"/>
      <c r="V242" s="0"/>
      <c r="W242" s="0"/>
      <c r="X242" s="0"/>
      <c r="Y242" s="0"/>
    </row>
    <row r="243" customFormat="false" ht="12.8" hidden="false" customHeight="false" outlineLevel="0" collapsed="false">
      <c r="G243" s="25" t="n">
        <v>44756</v>
      </c>
      <c r="H243" s="32" t="s">
        <v>15</v>
      </c>
      <c r="I243" s="5" t="n">
        <v>-55.66</v>
      </c>
      <c r="J243" s="54" t="s">
        <v>37</v>
      </c>
      <c r="K243" s="0"/>
      <c r="L243" s="0"/>
      <c r="U243" s="0"/>
      <c r="V243" s="0"/>
      <c r="W243" s="0"/>
      <c r="X243" s="0"/>
      <c r="Y243" s="0"/>
    </row>
    <row r="244" customFormat="false" ht="12.8" hidden="false" customHeight="false" outlineLevel="0" collapsed="false">
      <c r="G244" s="25" t="n">
        <v>44756</v>
      </c>
      <c r="H244" s="26" t="s">
        <v>10</v>
      </c>
      <c r="I244" s="5" t="n">
        <v>-30</v>
      </c>
      <c r="J244" s="54" t="s">
        <v>38</v>
      </c>
      <c r="K244" s="0"/>
      <c r="L244" s="0"/>
      <c r="U244" s="0"/>
      <c r="V244" s="0"/>
      <c r="W244" s="0"/>
      <c r="X244" s="0"/>
      <c r="Y244" s="0"/>
    </row>
    <row r="245" customFormat="false" ht="12.8" hidden="false" customHeight="false" outlineLevel="0" collapsed="false">
      <c r="G245" s="25" t="n">
        <v>44756</v>
      </c>
      <c r="H245" s="32" t="s">
        <v>15</v>
      </c>
      <c r="I245" s="5" t="n">
        <v>30</v>
      </c>
      <c r="J245" s="54" t="s">
        <v>38</v>
      </c>
      <c r="K245" s="0"/>
      <c r="L245" s="0"/>
      <c r="U245" s="0"/>
      <c r="V245" s="0"/>
      <c r="W245" s="0"/>
      <c r="X245" s="0"/>
      <c r="Y245" s="0"/>
    </row>
    <row r="246" customFormat="false" ht="12.8" hidden="false" customHeight="false" outlineLevel="0" collapsed="false">
      <c r="G246" s="25" t="n">
        <v>44756</v>
      </c>
      <c r="H246" s="32" t="s">
        <v>15</v>
      </c>
      <c r="I246" s="5" t="n">
        <v>-29.65</v>
      </c>
      <c r="J246" s="54" t="s">
        <v>37</v>
      </c>
      <c r="K246" s="0"/>
      <c r="L246" s="0"/>
      <c r="U246" s="0"/>
      <c r="V246" s="0"/>
      <c r="W246" s="0"/>
      <c r="X246" s="0"/>
      <c r="Y246" s="0"/>
    </row>
    <row r="247" customFormat="false" ht="12.8" hidden="false" customHeight="false" outlineLevel="0" collapsed="false">
      <c r="G247" s="25" t="n">
        <v>44756</v>
      </c>
      <c r="H247" s="43" t="s">
        <v>23</v>
      </c>
      <c r="I247" s="5" t="n">
        <f aca="false">1524</f>
        <v>1524</v>
      </c>
      <c r="J247" s="10" t="s">
        <v>42</v>
      </c>
      <c r="K247" s="0"/>
      <c r="L247" s="0"/>
      <c r="U247" s="0"/>
      <c r="V247" s="0"/>
      <c r="W247" s="0"/>
      <c r="X247" s="0"/>
      <c r="Y247" s="0"/>
    </row>
    <row r="248" customFormat="false" ht="12.8" hidden="false" customHeight="false" outlineLevel="0" collapsed="false">
      <c r="G248" s="25" t="n">
        <v>44756</v>
      </c>
      <c r="H248" s="43" t="s">
        <v>23</v>
      </c>
      <c r="I248" s="5" t="n">
        <v>-5</v>
      </c>
      <c r="J248" s="10" t="s">
        <v>43</v>
      </c>
      <c r="K248" s="0"/>
      <c r="L248" s="0"/>
      <c r="U248" s="0"/>
      <c r="V248" s="0"/>
      <c r="W248" s="0"/>
      <c r="X248" s="0"/>
      <c r="Y248" s="0"/>
    </row>
    <row r="249" customFormat="false" ht="12.8" hidden="false" customHeight="false" outlineLevel="0" collapsed="false">
      <c r="G249" s="25" t="n">
        <v>44757</v>
      </c>
      <c r="H249" s="43" t="s">
        <v>23</v>
      </c>
      <c r="I249" s="5" t="n">
        <v>-15</v>
      </c>
      <c r="J249" s="0" t="s">
        <v>69</v>
      </c>
      <c r="K249" s="0"/>
      <c r="L249" s="0"/>
      <c r="U249" s="0"/>
      <c r="V249" s="0"/>
      <c r="W249" s="0"/>
      <c r="X249" s="0"/>
      <c r="Y249" s="0"/>
    </row>
    <row r="250" customFormat="false" ht="12.8" hidden="false" customHeight="false" outlineLevel="0" collapsed="false">
      <c r="G250" s="25" t="n">
        <v>44757</v>
      </c>
      <c r="H250" s="38" t="s">
        <v>21</v>
      </c>
      <c r="I250" s="5" t="n">
        <v>15</v>
      </c>
      <c r="J250" s="55" t="s">
        <v>69</v>
      </c>
      <c r="K250" s="0"/>
      <c r="L250" s="0"/>
      <c r="U250" s="0"/>
      <c r="V250" s="0"/>
      <c r="W250" s="0"/>
      <c r="X250" s="0"/>
      <c r="Y250" s="0"/>
    </row>
    <row r="251" customFormat="false" ht="12.8" hidden="false" customHeight="false" outlineLevel="0" collapsed="false">
      <c r="G251" s="25" t="n">
        <v>44757</v>
      </c>
      <c r="H251" s="26" t="s">
        <v>10</v>
      </c>
      <c r="I251" s="5" t="n">
        <v>-54</v>
      </c>
      <c r="J251" s="54" t="s">
        <v>38</v>
      </c>
      <c r="K251" s="0"/>
      <c r="L251" s="0"/>
      <c r="U251" s="0"/>
      <c r="V251" s="0"/>
      <c r="W251" s="0"/>
      <c r="X251" s="0"/>
      <c r="Y251" s="0"/>
    </row>
    <row r="252" customFormat="false" ht="12.8" hidden="false" customHeight="false" outlineLevel="0" collapsed="false">
      <c r="G252" s="25" t="n">
        <v>44757</v>
      </c>
      <c r="H252" s="32" t="s">
        <v>15</v>
      </c>
      <c r="I252" s="5" t="n">
        <v>54</v>
      </c>
      <c r="J252" s="54" t="s">
        <v>38</v>
      </c>
      <c r="K252" s="0"/>
      <c r="L252" s="0"/>
      <c r="U252" s="0"/>
      <c r="V252" s="0"/>
      <c r="W252" s="0"/>
      <c r="X252" s="0"/>
      <c r="Y252" s="0"/>
    </row>
    <row r="253" customFormat="false" ht="12.8" hidden="false" customHeight="false" outlineLevel="0" collapsed="false">
      <c r="G253" s="25" t="n">
        <v>44757</v>
      </c>
      <c r="H253" s="32" t="s">
        <v>15</v>
      </c>
      <c r="I253" s="5" t="n">
        <v>-49.75</v>
      </c>
      <c r="J253" s="54" t="s">
        <v>37</v>
      </c>
      <c r="K253" s="0"/>
      <c r="L253" s="0"/>
      <c r="U253" s="0"/>
      <c r="V253" s="0"/>
      <c r="W253" s="0"/>
      <c r="X253" s="0"/>
      <c r="Y253" s="0"/>
    </row>
    <row r="254" customFormat="false" ht="12.8" hidden="false" customHeight="false" outlineLevel="0" collapsed="false">
      <c r="G254" s="25" t="n">
        <v>44757</v>
      </c>
      <c r="H254" s="43" t="s">
        <v>23</v>
      </c>
      <c r="I254" s="5" t="n">
        <v>526</v>
      </c>
      <c r="J254" s="10" t="s">
        <v>70</v>
      </c>
      <c r="K254" s="0"/>
      <c r="L254" s="0"/>
      <c r="U254" s="0"/>
      <c r="V254" s="0"/>
      <c r="W254" s="0"/>
      <c r="X254" s="0"/>
      <c r="Y254" s="0"/>
    </row>
    <row r="255" customFormat="false" ht="12.8" hidden="false" customHeight="false" outlineLevel="0" collapsed="false">
      <c r="G255" s="25" t="n">
        <v>44757</v>
      </c>
      <c r="H255" s="43" t="s">
        <v>23</v>
      </c>
      <c r="I255" s="5" t="n">
        <v>-300</v>
      </c>
      <c r="J255" s="0" t="s">
        <v>46</v>
      </c>
      <c r="K255" s="0"/>
      <c r="L255" s="0"/>
      <c r="U255" s="0"/>
      <c r="V255" s="0"/>
      <c r="W255" s="0"/>
      <c r="X255" s="0"/>
      <c r="Y255" s="0"/>
    </row>
    <row r="256" customFormat="false" ht="12.8" hidden="false" customHeight="false" outlineLevel="0" collapsed="false">
      <c r="G256" s="25" t="n">
        <v>44758</v>
      </c>
      <c r="H256" s="43" t="s">
        <v>23</v>
      </c>
      <c r="I256" s="5" t="n">
        <v>-51.47</v>
      </c>
      <c r="J256" s="10" t="s">
        <v>37</v>
      </c>
      <c r="K256" s="0"/>
      <c r="L256" s="0"/>
      <c r="U256" s="0"/>
      <c r="V256" s="0"/>
      <c r="W256" s="0"/>
      <c r="X256" s="0"/>
      <c r="Y256" s="0"/>
    </row>
    <row r="257" customFormat="false" ht="12.8" hidden="false" customHeight="false" outlineLevel="0" collapsed="false">
      <c r="G257" s="25" t="n">
        <v>44758</v>
      </c>
      <c r="H257" s="43" t="s">
        <v>23</v>
      </c>
      <c r="I257" s="5" t="n">
        <v>-35.39</v>
      </c>
      <c r="J257" s="10" t="s">
        <v>37</v>
      </c>
      <c r="K257" s="0"/>
      <c r="L257" s="0"/>
      <c r="U257" s="0"/>
      <c r="V257" s="0"/>
      <c r="W257" s="0"/>
      <c r="X257" s="0"/>
      <c r="Y257" s="0"/>
    </row>
    <row r="258" customFormat="false" ht="12.8" hidden="false" customHeight="false" outlineLevel="0" collapsed="false">
      <c r="G258" s="25" t="n">
        <v>44758</v>
      </c>
      <c r="H258" s="43" t="s">
        <v>23</v>
      </c>
      <c r="I258" s="5" t="n">
        <v>-765</v>
      </c>
      <c r="J258" s="55" t="s">
        <v>44</v>
      </c>
      <c r="K258" s="0"/>
      <c r="L258" s="0"/>
      <c r="U258" s="0"/>
      <c r="V258" s="0"/>
      <c r="W258" s="0"/>
      <c r="X258" s="0"/>
      <c r="Y258" s="0"/>
    </row>
    <row r="259" customFormat="false" ht="12.8" hidden="false" customHeight="false" outlineLevel="0" collapsed="false">
      <c r="G259" s="25" t="n">
        <v>44759</v>
      </c>
      <c r="H259" s="43" t="s">
        <v>23</v>
      </c>
      <c r="I259" s="5" t="n">
        <v>-139.18</v>
      </c>
      <c r="J259" s="0" t="s">
        <v>47</v>
      </c>
      <c r="K259" s="0"/>
      <c r="L259" s="0"/>
      <c r="U259" s="0"/>
      <c r="V259" s="0"/>
      <c r="W259" s="0"/>
      <c r="X259" s="0"/>
      <c r="Y259" s="0"/>
    </row>
    <row r="260" customFormat="false" ht="12.8" hidden="false" customHeight="false" outlineLevel="0" collapsed="false">
      <c r="G260" s="25" t="n">
        <v>44759</v>
      </c>
      <c r="H260" s="43" t="s">
        <v>23</v>
      </c>
      <c r="I260" s="5" t="n">
        <v>-53.15</v>
      </c>
      <c r="J260" s="10" t="s">
        <v>37</v>
      </c>
      <c r="K260" s="0"/>
      <c r="L260" s="0"/>
      <c r="U260" s="0"/>
      <c r="V260" s="0"/>
      <c r="W260" s="0"/>
      <c r="X260" s="0"/>
      <c r="Y260" s="0"/>
    </row>
    <row r="261" customFormat="false" ht="12.8" hidden="false" customHeight="false" outlineLevel="0" collapsed="false">
      <c r="G261" s="25" t="n">
        <v>44759</v>
      </c>
      <c r="H261" s="43" t="s">
        <v>23</v>
      </c>
      <c r="I261" s="5" t="n">
        <f aca="false">-18.95-11.98-5.99</f>
        <v>-36.92</v>
      </c>
      <c r="J261" s="10" t="s">
        <v>37</v>
      </c>
      <c r="K261" s="0"/>
      <c r="L261" s="0"/>
      <c r="U261" s="0"/>
      <c r="V261" s="0"/>
      <c r="W261" s="0"/>
      <c r="X261" s="0"/>
      <c r="Y261" s="0"/>
    </row>
    <row r="262" customFormat="false" ht="12.8" hidden="false" customHeight="false" outlineLevel="0" collapsed="false">
      <c r="G262" s="25" t="n">
        <v>44759</v>
      </c>
      <c r="H262" s="43" t="s">
        <v>23</v>
      </c>
      <c r="I262" s="5" t="n">
        <v>-22</v>
      </c>
      <c r="J262" s="10" t="s">
        <v>37</v>
      </c>
      <c r="K262" s="0"/>
      <c r="L262" s="0"/>
      <c r="U262" s="0"/>
      <c r="V262" s="0"/>
      <c r="W262" s="0"/>
      <c r="X262" s="0"/>
      <c r="Y262" s="0"/>
    </row>
    <row r="263" customFormat="false" ht="12.8" hidden="false" customHeight="false" outlineLevel="0" collapsed="false">
      <c r="G263" s="25" t="n">
        <v>44760</v>
      </c>
      <c r="H263" s="43" t="s">
        <v>23</v>
      </c>
      <c r="I263" s="5" t="n">
        <v>-66.44</v>
      </c>
      <c r="J263" s="0" t="s">
        <v>48</v>
      </c>
      <c r="K263" s="0"/>
      <c r="L263" s="0"/>
      <c r="U263" s="0"/>
      <c r="V263" s="0"/>
      <c r="W263" s="0"/>
      <c r="X263" s="0"/>
      <c r="Y263" s="0"/>
    </row>
    <row r="264" customFormat="false" ht="12.8" hidden="false" customHeight="false" outlineLevel="0" collapsed="false">
      <c r="G264" s="25" t="n">
        <v>44760</v>
      </c>
      <c r="H264" s="43" t="s">
        <v>23</v>
      </c>
      <c r="I264" s="5" t="n">
        <v>-55.74</v>
      </c>
      <c r="J264" s="10" t="s">
        <v>37</v>
      </c>
      <c r="K264" s="0"/>
      <c r="L264" s="0"/>
      <c r="U264" s="0"/>
      <c r="V264" s="0"/>
      <c r="W264" s="0"/>
      <c r="X264" s="0"/>
      <c r="Y264" s="0"/>
    </row>
    <row r="265" customFormat="false" ht="12.8" hidden="false" customHeight="false" outlineLevel="0" collapsed="false">
      <c r="G265" s="25" t="n">
        <v>44760</v>
      </c>
      <c r="H265" s="43" t="s">
        <v>23</v>
      </c>
      <c r="I265" s="5" t="n">
        <v>-307.04</v>
      </c>
      <c r="J265" s="0" t="s">
        <v>52</v>
      </c>
      <c r="K265" s="0"/>
      <c r="L265" s="0"/>
      <c r="U265" s="0"/>
      <c r="V265" s="0"/>
      <c r="W265" s="0"/>
      <c r="X265" s="0"/>
      <c r="Y265" s="0"/>
    </row>
    <row r="266" customFormat="false" ht="12.8" hidden="false" customHeight="false" outlineLevel="0" collapsed="false">
      <c r="G266" s="25" t="n">
        <v>44761</v>
      </c>
      <c r="H266" s="26" t="s">
        <v>10</v>
      </c>
      <c r="I266" s="5" t="n">
        <v>-50</v>
      </c>
      <c r="J266" s="54" t="s">
        <v>38</v>
      </c>
      <c r="K266" s="0"/>
      <c r="L266" s="0"/>
      <c r="U266" s="0"/>
      <c r="V266" s="0"/>
      <c r="W266" s="0"/>
      <c r="X266" s="0"/>
      <c r="Y266" s="0"/>
    </row>
    <row r="267" customFormat="false" ht="12.8" hidden="false" customHeight="false" outlineLevel="0" collapsed="false">
      <c r="G267" s="25" t="n">
        <v>44761</v>
      </c>
      <c r="H267" s="32" t="s">
        <v>15</v>
      </c>
      <c r="I267" s="5" t="n">
        <v>50</v>
      </c>
      <c r="J267" s="54" t="s">
        <v>38</v>
      </c>
      <c r="K267" s="0"/>
      <c r="L267" s="0"/>
      <c r="U267" s="0"/>
      <c r="V267" s="0"/>
      <c r="W267" s="0"/>
      <c r="X267" s="0"/>
      <c r="Y267" s="0"/>
    </row>
    <row r="268" customFormat="false" ht="12.8" hidden="false" customHeight="false" outlineLevel="0" collapsed="false">
      <c r="G268" s="25" t="n">
        <v>44761</v>
      </c>
      <c r="H268" s="32" t="s">
        <v>15</v>
      </c>
      <c r="I268" s="5" t="n">
        <v>-52.17</v>
      </c>
      <c r="J268" s="54" t="s">
        <v>37</v>
      </c>
      <c r="K268" s="0"/>
      <c r="L268" s="0"/>
      <c r="U268" s="0"/>
      <c r="V268" s="0"/>
      <c r="W268" s="0"/>
      <c r="X268" s="0"/>
      <c r="Y268" s="0"/>
    </row>
    <row r="269" customFormat="false" ht="12.8" hidden="false" customHeight="false" outlineLevel="0" collapsed="false">
      <c r="G269" s="25" t="n">
        <v>44761</v>
      </c>
      <c r="H269" s="26" t="s">
        <v>10</v>
      </c>
      <c r="I269" s="5" t="n">
        <v>-30</v>
      </c>
      <c r="J269" s="54" t="s">
        <v>38</v>
      </c>
      <c r="K269" s="0"/>
      <c r="L269" s="0"/>
      <c r="U269" s="0"/>
      <c r="V269" s="0"/>
      <c r="W269" s="0"/>
      <c r="X269" s="0"/>
      <c r="Y269" s="0"/>
    </row>
    <row r="270" customFormat="false" ht="12.8" hidden="false" customHeight="false" outlineLevel="0" collapsed="false">
      <c r="G270" s="25" t="n">
        <v>44761</v>
      </c>
      <c r="H270" s="32" t="s">
        <v>15</v>
      </c>
      <c r="I270" s="5" t="n">
        <v>30</v>
      </c>
      <c r="J270" s="54" t="s">
        <v>38</v>
      </c>
      <c r="K270" s="0"/>
      <c r="L270" s="0"/>
      <c r="U270" s="0"/>
      <c r="V270" s="0"/>
      <c r="W270" s="0"/>
      <c r="X270" s="0"/>
      <c r="Y270" s="0"/>
    </row>
    <row r="271" customFormat="false" ht="12.8" hidden="false" customHeight="false" outlineLevel="0" collapsed="false">
      <c r="G271" s="25" t="n">
        <v>44761</v>
      </c>
      <c r="H271" s="32" t="s">
        <v>15</v>
      </c>
      <c r="I271" s="5" t="n">
        <v>-22.98</v>
      </c>
      <c r="J271" s="54" t="s">
        <v>37</v>
      </c>
      <c r="K271" s="0"/>
      <c r="L271" s="0"/>
      <c r="U271" s="0"/>
      <c r="V271" s="0"/>
      <c r="W271" s="0"/>
      <c r="X271" s="0"/>
      <c r="Y271" s="0"/>
    </row>
    <row r="272" customFormat="false" ht="12.8" hidden="false" customHeight="false" outlineLevel="0" collapsed="false">
      <c r="G272" s="25" t="n">
        <v>44761</v>
      </c>
      <c r="H272" s="43" t="s">
        <v>23</v>
      </c>
      <c r="I272" s="5" t="n">
        <v>-27.98</v>
      </c>
      <c r="J272" s="10" t="s">
        <v>37</v>
      </c>
      <c r="K272" s="0"/>
      <c r="L272" s="0"/>
      <c r="U272" s="0"/>
      <c r="V272" s="0"/>
      <c r="W272" s="0"/>
      <c r="X272" s="0"/>
      <c r="Y272" s="0"/>
    </row>
    <row r="273" customFormat="false" ht="12.8" hidden="false" customHeight="false" outlineLevel="0" collapsed="false">
      <c r="G273" s="25" t="n">
        <v>44762</v>
      </c>
      <c r="H273" s="26" t="s">
        <v>10</v>
      </c>
      <c r="I273" s="5" t="n">
        <v>-45</v>
      </c>
      <c r="J273" s="54" t="s">
        <v>38</v>
      </c>
      <c r="K273" s="0"/>
      <c r="L273" s="0"/>
      <c r="U273" s="0"/>
      <c r="V273" s="0"/>
      <c r="W273" s="0"/>
      <c r="X273" s="0"/>
      <c r="Y273" s="0"/>
    </row>
    <row r="274" customFormat="false" ht="12.8" hidden="false" customHeight="false" outlineLevel="0" collapsed="false">
      <c r="G274" s="25" t="n">
        <v>44762</v>
      </c>
      <c r="H274" s="32" t="s">
        <v>15</v>
      </c>
      <c r="I274" s="5" t="n">
        <v>45</v>
      </c>
      <c r="J274" s="54" t="s">
        <v>38</v>
      </c>
      <c r="K274" s="0"/>
      <c r="L274" s="0"/>
      <c r="U274" s="0"/>
      <c r="V274" s="0"/>
      <c r="W274" s="0"/>
      <c r="X274" s="0"/>
      <c r="Y274" s="0"/>
    </row>
    <row r="275" customFormat="false" ht="12.8" hidden="false" customHeight="false" outlineLevel="0" collapsed="false">
      <c r="G275" s="25" t="n">
        <v>44762</v>
      </c>
      <c r="H275" s="32" t="s">
        <v>15</v>
      </c>
      <c r="I275" s="5" t="n">
        <v>-48.33</v>
      </c>
      <c r="J275" s="54" t="s">
        <v>37</v>
      </c>
      <c r="K275" s="0"/>
      <c r="L275" s="0"/>
      <c r="U275" s="0"/>
      <c r="V275" s="0"/>
      <c r="W275" s="0"/>
      <c r="X275" s="0"/>
      <c r="Y275" s="0"/>
    </row>
    <row r="276" customFormat="false" ht="12.8" hidden="false" customHeight="false" outlineLevel="0" collapsed="false">
      <c r="G276" s="25" t="n">
        <v>44762</v>
      </c>
      <c r="H276" s="43" t="s">
        <v>23</v>
      </c>
      <c r="I276" s="5" t="n">
        <v>-31.26</v>
      </c>
      <c r="J276" s="10" t="s">
        <v>37</v>
      </c>
      <c r="K276" s="0"/>
      <c r="L276" s="0"/>
      <c r="U276" s="0"/>
      <c r="V276" s="0"/>
      <c r="W276" s="0"/>
      <c r="X276" s="0"/>
      <c r="Y276" s="0"/>
    </row>
    <row r="277" customFormat="false" ht="12.8" hidden="false" customHeight="false" outlineLevel="0" collapsed="false">
      <c r="G277" s="25" t="n">
        <v>44762</v>
      </c>
      <c r="H277" s="43" t="s">
        <v>23</v>
      </c>
      <c r="I277" s="5" t="n">
        <v>-85.19</v>
      </c>
      <c r="J277" s="0" t="s">
        <v>53</v>
      </c>
      <c r="K277" s="0"/>
      <c r="L277" s="0"/>
      <c r="U277" s="0"/>
      <c r="V277" s="0"/>
      <c r="W277" s="0"/>
      <c r="X277" s="0"/>
      <c r="Y277" s="0"/>
    </row>
    <row r="278" customFormat="false" ht="12.8" hidden="false" customHeight="false" outlineLevel="0" collapsed="false">
      <c r="G278" s="25" t="n">
        <v>44763</v>
      </c>
      <c r="H278" s="26" t="s">
        <v>10</v>
      </c>
      <c r="I278" s="5" t="n">
        <v>-50</v>
      </c>
      <c r="J278" s="54" t="s">
        <v>38</v>
      </c>
      <c r="K278" s="5"/>
      <c r="L278" s="0"/>
      <c r="U278" s="0"/>
      <c r="V278" s="0"/>
      <c r="W278" s="0"/>
      <c r="X278" s="0"/>
      <c r="Y278" s="0"/>
    </row>
    <row r="279" customFormat="false" ht="12.8" hidden="false" customHeight="false" outlineLevel="0" collapsed="false">
      <c r="G279" s="25" t="n">
        <v>44763</v>
      </c>
      <c r="H279" s="32" t="s">
        <v>15</v>
      </c>
      <c r="I279" s="5" t="n">
        <v>50</v>
      </c>
      <c r="J279" s="54" t="s">
        <v>38</v>
      </c>
      <c r="K279" s="5"/>
      <c r="L279" s="0"/>
      <c r="U279" s="0"/>
      <c r="V279" s="0"/>
      <c r="W279" s="0"/>
      <c r="X279" s="0"/>
      <c r="Y279" s="0"/>
    </row>
    <row r="280" customFormat="false" ht="12.8" hidden="false" customHeight="false" outlineLevel="0" collapsed="false">
      <c r="G280" s="25" t="n">
        <v>44763</v>
      </c>
      <c r="H280" s="32" t="s">
        <v>15</v>
      </c>
      <c r="I280" s="5" t="n">
        <v>-49.67</v>
      </c>
      <c r="J280" s="54" t="s">
        <v>37</v>
      </c>
      <c r="K280" s="0"/>
      <c r="L280" s="0"/>
      <c r="U280" s="0"/>
      <c r="V280" s="0"/>
      <c r="W280" s="0"/>
      <c r="X280" s="0"/>
      <c r="Y280" s="0"/>
    </row>
    <row r="281" customFormat="false" ht="12.8" hidden="false" customHeight="false" outlineLevel="0" collapsed="false">
      <c r="G281" s="25" t="n">
        <v>44763</v>
      </c>
      <c r="H281" s="26" t="s">
        <v>10</v>
      </c>
      <c r="I281" s="5" t="n">
        <v>-50</v>
      </c>
      <c r="J281" s="54" t="s">
        <v>38</v>
      </c>
      <c r="K281" s="0"/>
      <c r="L281" s="0"/>
      <c r="U281" s="0"/>
      <c r="V281" s="0"/>
      <c r="W281" s="0"/>
      <c r="X281" s="0"/>
      <c r="Y281" s="0"/>
    </row>
    <row r="282" customFormat="false" ht="12.8" hidden="false" customHeight="false" outlineLevel="0" collapsed="false">
      <c r="G282" s="25" t="n">
        <v>44763</v>
      </c>
      <c r="H282" s="32" t="s">
        <v>15</v>
      </c>
      <c r="I282" s="5" t="n">
        <v>50</v>
      </c>
      <c r="J282" s="54" t="s">
        <v>38</v>
      </c>
      <c r="K282" s="0"/>
      <c r="L282" s="0"/>
      <c r="U282" s="0"/>
      <c r="V282" s="0"/>
      <c r="W282" s="0"/>
      <c r="X282" s="0"/>
      <c r="Y282" s="0"/>
    </row>
    <row r="283" customFormat="false" ht="12.8" hidden="false" customHeight="false" outlineLevel="0" collapsed="false">
      <c r="G283" s="25" t="n">
        <v>44763</v>
      </c>
      <c r="H283" s="32" t="s">
        <v>15</v>
      </c>
      <c r="I283" s="5" t="n">
        <v>-28.38</v>
      </c>
      <c r="J283" s="54" t="s">
        <v>37</v>
      </c>
      <c r="K283" s="0"/>
      <c r="L283" s="0"/>
      <c r="U283" s="0"/>
      <c r="V283" s="0"/>
      <c r="W283" s="0"/>
      <c r="X283" s="0"/>
      <c r="Y283" s="0"/>
    </row>
    <row r="284" customFormat="false" ht="12.8" hidden="false" customHeight="false" outlineLevel="0" collapsed="false">
      <c r="G284" s="25" t="n">
        <v>44764</v>
      </c>
      <c r="H284" s="26" t="s">
        <v>10</v>
      </c>
      <c r="I284" s="5" t="n">
        <v>-26</v>
      </c>
      <c r="J284" s="54" t="s">
        <v>38</v>
      </c>
      <c r="K284" s="0"/>
      <c r="L284" s="0"/>
      <c r="U284" s="0"/>
      <c r="V284" s="0"/>
      <c r="W284" s="0"/>
      <c r="X284" s="0"/>
      <c r="Y284" s="0"/>
    </row>
    <row r="285" customFormat="false" ht="12.8" hidden="false" customHeight="false" outlineLevel="0" collapsed="false">
      <c r="G285" s="25" t="n">
        <v>44764</v>
      </c>
      <c r="H285" s="32" t="s">
        <v>15</v>
      </c>
      <c r="I285" s="5" t="n">
        <v>26</v>
      </c>
      <c r="J285" s="54" t="s">
        <v>38</v>
      </c>
      <c r="K285" s="0"/>
      <c r="L285" s="0"/>
      <c r="U285" s="0"/>
      <c r="V285" s="0"/>
      <c r="W285" s="0"/>
      <c r="X285" s="0"/>
      <c r="Y285" s="0"/>
    </row>
    <row r="286" customFormat="false" ht="12.8" hidden="false" customHeight="false" outlineLevel="0" collapsed="false">
      <c r="G286" s="25" t="n">
        <v>44764</v>
      </c>
      <c r="H286" s="32" t="s">
        <v>15</v>
      </c>
      <c r="I286" s="5" t="n">
        <v>-51.67</v>
      </c>
      <c r="J286" s="54" t="s">
        <v>37</v>
      </c>
      <c r="K286" s="0"/>
      <c r="L286" s="0"/>
      <c r="U286" s="0"/>
      <c r="V286" s="0"/>
      <c r="W286" s="0"/>
      <c r="X286" s="0"/>
      <c r="Y286" s="0"/>
    </row>
    <row r="287" customFormat="false" ht="12.8" hidden="false" customHeight="false" outlineLevel="0" collapsed="false">
      <c r="G287" s="25" t="n">
        <v>44764</v>
      </c>
      <c r="H287" s="26" t="s">
        <v>10</v>
      </c>
      <c r="I287" s="5" t="n">
        <v>-36</v>
      </c>
      <c r="J287" s="54" t="s">
        <v>38</v>
      </c>
      <c r="K287" s="0"/>
      <c r="L287" s="0"/>
      <c r="U287" s="0"/>
      <c r="V287" s="0"/>
      <c r="W287" s="0"/>
      <c r="X287" s="0"/>
      <c r="Y287" s="0"/>
    </row>
    <row r="288" customFormat="false" ht="12.8" hidden="false" customHeight="false" outlineLevel="0" collapsed="false">
      <c r="G288" s="25" t="n">
        <v>44764</v>
      </c>
      <c r="H288" s="32" t="s">
        <v>15</v>
      </c>
      <c r="I288" s="5" t="n">
        <v>36</v>
      </c>
      <c r="J288" s="54" t="s">
        <v>38</v>
      </c>
      <c r="K288" s="0"/>
      <c r="L288" s="0"/>
      <c r="U288" s="0"/>
      <c r="V288" s="0"/>
      <c r="W288" s="0"/>
      <c r="X288" s="0"/>
      <c r="Y288" s="0"/>
    </row>
    <row r="289" customFormat="false" ht="12.8" hidden="false" customHeight="false" outlineLevel="0" collapsed="false">
      <c r="G289" s="25" t="n">
        <v>44764</v>
      </c>
      <c r="H289" s="32" t="s">
        <v>15</v>
      </c>
      <c r="I289" s="5" t="n">
        <v>-39.5</v>
      </c>
      <c r="J289" s="54" t="s">
        <v>37</v>
      </c>
      <c r="K289" s="0"/>
      <c r="L289" s="0"/>
      <c r="U289" s="0"/>
      <c r="V289" s="0"/>
      <c r="W289" s="0"/>
      <c r="X289" s="0"/>
      <c r="Y289" s="0"/>
    </row>
    <row r="290" customFormat="false" ht="12.8" hidden="false" customHeight="false" outlineLevel="0" collapsed="false">
      <c r="G290" s="25" t="n">
        <v>44765</v>
      </c>
      <c r="H290" s="26" t="s">
        <v>10</v>
      </c>
      <c r="I290" s="5" t="n">
        <v>-59</v>
      </c>
      <c r="J290" s="54" t="s">
        <v>38</v>
      </c>
      <c r="K290" s="0"/>
      <c r="L290" s="0"/>
      <c r="U290" s="0"/>
      <c r="V290" s="0"/>
      <c r="W290" s="0"/>
      <c r="X290" s="0"/>
      <c r="Y290" s="0"/>
    </row>
    <row r="291" customFormat="false" ht="12.8" hidden="false" customHeight="false" outlineLevel="0" collapsed="false">
      <c r="G291" s="25" t="n">
        <v>44765</v>
      </c>
      <c r="H291" s="32" t="s">
        <v>15</v>
      </c>
      <c r="I291" s="5" t="n">
        <v>59</v>
      </c>
      <c r="J291" s="54" t="s">
        <v>38</v>
      </c>
      <c r="K291" s="0"/>
      <c r="L291" s="0"/>
      <c r="U291" s="0"/>
      <c r="V291" s="0"/>
      <c r="W291" s="0"/>
      <c r="X291" s="0"/>
      <c r="Y291" s="0"/>
    </row>
    <row r="292" customFormat="false" ht="12.8" hidden="false" customHeight="false" outlineLevel="0" collapsed="false">
      <c r="G292" s="25" t="n">
        <v>44765</v>
      </c>
      <c r="H292" s="32" t="s">
        <v>15</v>
      </c>
      <c r="I292" s="5" t="n">
        <v>-48.13</v>
      </c>
      <c r="J292" s="54" t="s">
        <v>37</v>
      </c>
      <c r="K292" s="0"/>
      <c r="L292" s="0"/>
      <c r="U292" s="0"/>
      <c r="V292" s="0"/>
      <c r="W292" s="0"/>
      <c r="X292" s="0"/>
      <c r="Y292" s="0"/>
    </row>
    <row r="293" customFormat="false" ht="12.8" hidden="false" customHeight="false" outlineLevel="0" collapsed="false">
      <c r="G293" s="25" t="n">
        <v>44765</v>
      </c>
      <c r="H293" s="26" t="s">
        <v>10</v>
      </c>
      <c r="I293" s="5" t="n">
        <v>-30</v>
      </c>
      <c r="J293" s="54" t="s">
        <v>38</v>
      </c>
      <c r="K293" s="0"/>
      <c r="L293" s="0"/>
      <c r="U293" s="0"/>
      <c r="V293" s="0"/>
      <c r="W293" s="0"/>
      <c r="X293" s="0"/>
      <c r="Y293" s="0"/>
    </row>
    <row r="294" customFormat="false" ht="12.8" hidden="false" customHeight="false" outlineLevel="0" collapsed="false">
      <c r="G294" s="25" t="n">
        <v>44765</v>
      </c>
      <c r="H294" s="32" t="s">
        <v>15</v>
      </c>
      <c r="I294" s="5" t="n">
        <v>30</v>
      </c>
      <c r="J294" s="54" t="s">
        <v>38</v>
      </c>
      <c r="K294" s="0"/>
      <c r="L294" s="0"/>
      <c r="U294" s="0"/>
      <c r="V294" s="0"/>
      <c r="W294" s="0"/>
      <c r="X294" s="0"/>
      <c r="Y294" s="0"/>
    </row>
    <row r="295" customFormat="false" ht="12.8" hidden="false" customHeight="false" outlineLevel="0" collapsed="false">
      <c r="G295" s="25" t="n">
        <v>44765</v>
      </c>
      <c r="H295" s="32" t="s">
        <v>15</v>
      </c>
      <c r="I295" s="5" t="n">
        <v>-27.55</v>
      </c>
      <c r="J295" s="54" t="s">
        <v>37</v>
      </c>
      <c r="K295" s="0"/>
      <c r="L295" s="0"/>
      <c r="U295" s="0"/>
      <c r="V295" s="0"/>
      <c r="W295" s="0"/>
      <c r="X295" s="0"/>
      <c r="Y295" s="0"/>
    </row>
    <row r="296" customFormat="false" ht="12.8" hidden="false" customHeight="false" outlineLevel="0" collapsed="false">
      <c r="G296" s="25" t="n">
        <v>44766</v>
      </c>
      <c r="H296" s="26" t="s">
        <v>10</v>
      </c>
      <c r="I296" s="5" t="n">
        <v>-47</v>
      </c>
      <c r="J296" s="54" t="s">
        <v>38</v>
      </c>
      <c r="K296" s="5"/>
      <c r="L296" s="0"/>
      <c r="U296" s="0"/>
      <c r="V296" s="0"/>
      <c r="W296" s="0"/>
      <c r="X296" s="0"/>
      <c r="Y296" s="0"/>
    </row>
    <row r="297" customFormat="false" ht="12.8" hidden="false" customHeight="false" outlineLevel="0" collapsed="false">
      <c r="G297" s="25" t="n">
        <v>44766</v>
      </c>
      <c r="H297" s="32" t="s">
        <v>15</v>
      </c>
      <c r="I297" s="5" t="n">
        <v>47</v>
      </c>
      <c r="J297" s="54" t="s">
        <v>38</v>
      </c>
      <c r="K297" s="5"/>
      <c r="L297" s="57"/>
      <c r="U297" s="0"/>
      <c r="V297" s="0"/>
      <c r="W297" s="0"/>
      <c r="X297" s="0"/>
      <c r="Y297" s="0"/>
    </row>
    <row r="298" customFormat="false" ht="12.8" hidden="false" customHeight="false" outlineLevel="0" collapsed="false">
      <c r="G298" s="25" t="n">
        <v>44766</v>
      </c>
      <c r="H298" s="32" t="s">
        <v>15</v>
      </c>
      <c r="I298" s="5" t="n">
        <v>-51.17</v>
      </c>
      <c r="J298" s="54" t="s">
        <v>37</v>
      </c>
      <c r="K298" s="0"/>
      <c r="L298" s="0"/>
      <c r="U298" s="0"/>
      <c r="V298" s="0"/>
      <c r="W298" s="0"/>
      <c r="X298" s="0"/>
      <c r="Y298" s="0"/>
    </row>
    <row r="299" customFormat="false" ht="12.8" hidden="false" customHeight="false" outlineLevel="0" collapsed="false">
      <c r="G299" s="25" t="n">
        <v>44766</v>
      </c>
      <c r="H299" s="26" t="s">
        <v>10</v>
      </c>
      <c r="I299" s="5" t="n">
        <v>-150</v>
      </c>
      <c r="J299" s="54" t="s">
        <v>54</v>
      </c>
      <c r="K299" s="0"/>
      <c r="L299" s="0"/>
      <c r="U299" s="0"/>
      <c r="V299" s="0"/>
      <c r="W299" s="0"/>
      <c r="X299" s="0"/>
      <c r="Y299" s="0"/>
    </row>
    <row r="300" customFormat="false" ht="12.8" hidden="false" customHeight="false" outlineLevel="0" collapsed="false">
      <c r="G300" s="25" t="n">
        <v>44766</v>
      </c>
      <c r="H300" s="32" t="s">
        <v>15</v>
      </c>
      <c r="I300" s="5" t="n">
        <v>150</v>
      </c>
      <c r="J300" s="54" t="s">
        <v>54</v>
      </c>
      <c r="K300" s="0"/>
      <c r="L300" s="0"/>
      <c r="U300" s="0"/>
      <c r="V300" s="0"/>
      <c r="W300" s="0"/>
      <c r="X300" s="0"/>
      <c r="Y300" s="0"/>
    </row>
    <row r="301" customFormat="false" ht="12.8" hidden="false" customHeight="false" outlineLevel="0" collapsed="false">
      <c r="G301" s="25" t="n">
        <v>44767</v>
      </c>
      <c r="H301" s="32" t="s">
        <v>15</v>
      </c>
      <c r="I301" s="5" t="n">
        <v>-150</v>
      </c>
      <c r="J301" s="54" t="s">
        <v>55</v>
      </c>
      <c r="K301" s="0"/>
      <c r="L301" s="0"/>
      <c r="U301" s="0"/>
      <c r="V301" s="0"/>
      <c r="W301" s="0"/>
      <c r="X301" s="0"/>
      <c r="Y301" s="0"/>
    </row>
    <row r="302" customFormat="false" ht="12.8" hidden="false" customHeight="false" outlineLevel="0" collapsed="false">
      <c r="G302" s="25" t="n">
        <v>44767</v>
      </c>
      <c r="H302" s="26" t="s">
        <v>10</v>
      </c>
      <c r="I302" s="5" t="n">
        <v>-50</v>
      </c>
      <c r="J302" s="54" t="s">
        <v>38</v>
      </c>
      <c r="K302" s="0"/>
      <c r="L302" s="0"/>
      <c r="U302" s="0"/>
      <c r="V302" s="0"/>
      <c r="W302" s="0"/>
      <c r="X302" s="0"/>
      <c r="Y302" s="0"/>
    </row>
    <row r="303" customFormat="false" ht="12.8" hidden="false" customHeight="false" outlineLevel="0" collapsed="false">
      <c r="G303" s="25" t="n">
        <v>44767</v>
      </c>
      <c r="H303" s="32" t="s">
        <v>15</v>
      </c>
      <c r="I303" s="5" t="n">
        <v>50</v>
      </c>
      <c r="J303" s="54" t="s">
        <v>38</v>
      </c>
      <c r="K303" s="0"/>
      <c r="L303" s="0"/>
      <c r="U303" s="0"/>
      <c r="V303" s="0"/>
      <c r="W303" s="0"/>
      <c r="X303" s="0"/>
      <c r="Y303" s="0"/>
    </row>
    <row r="304" customFormat="false" ht="12.8" hidden="false" customHeight="false" outlineLevel="0" collapsed="false">
      <c r="G304" s="25" t="n">
        <v>44767</v>
      </c>
      <c r="H304" s="32" t="s">
        <v>15</v>
      </c>
      <c r="I304" s="5" t="n">
        <v>-54.74</v>
      </c>
      <c r="J304" s="54" t="s">
        <v>37</v>
      </c>
      <c r="K304" s="0"/>
      <c r="L304" s="0"/>
      <c r="U304" s="0"/>
      <c r="V304" s="0"/>
      <c r="W304" s="0"/>
      <c r="X304" s="0"/>
      <c r="Y304" s="0"/>
    </row>
    <row r="305" customFormat="false" ht="12.8" hidden="false" customHeight="false" outlineLevel="0" collapsed="false">
      <c r="G305" s="25" t="n">
        <v>44767</v>
      </c>
      <c r="H305" s="26" t="s">
        <v>10</v>
      </c>
      <c r="I305" s="5" t="n">
        <v>-25</v>
      </c>
      <c r="J305" s="54" t="s">
        <v>38</v>
      </c>
      <c r="K305" s="0"/>
      <c r="L305" s="0"/>
      <c r="U305" s="0"/>
      <c r="V305" s="0"/>
      <c r="W305" s="0"/>
      <c r="X305" s="0"/>
      <c r="Y305" s="0"/>
    </row>
    <row r="306" customFormat="false" ht="12.8" hidden="false" customHeight="false" outlineLevel="0" collapsed="false">
      <c r="G306" s="25" t="n">
        <v>44767</v>
      </c>
      <c r="H306" s="32" t="s">
        <v>15</v>
      </c>
      <c r="I306" s="5" t="n">
        <v>25</v>
      </c>
      <c r="J306" s="54" t="s">
        <v>38</v>
      </c>
      <c r="K306" s="0"/>
      <c r="L306" s="0"/>
      <c r="U306" s="0"/>
      <c r="V306" s="0"/>
      <c r="W306" s="0"/>
      <c r="X306" s="0"/>
      <c r="Y306" s="0"/>
    </row>
    <row r="307" customFormat="false" ht="12.8" hidden="false" customHeight="false" outlineLevel="0" collapsed="false">
      <c r="G307" s="25" t="n">
        <v>44768</v>
      </c>
      <c r="H307" s="26" t="s">
        <v>10</v>
      </c>
      <c r="I307" s="5" t="n">
        <v>-25</v>
      </c>
      <c r="J307" s="54" t="s">
        <v>38</v>
      </c>
      <c r="K307" s="0"/>
      <c r="L307" s="0"/>
      <c r="U307" s="0"/>
      <c r="V307" s="0"/>
      <c r="W307" s="0"/>
      <c r="X307" s="0"/>
      <c r="Y307" s="0"/>
    </row>
    <row r="308" customFormat="false" ht="12.8" hidden="false" customHeight="false" outlineLevel="0" collapsed="false">
      <c r="G308" s="25" t="n">
        <v>44768</v>
      </c>
      <c r="H308" s="32" t="s">
        <v>15</v>
      </c>
      <c r="I308" s="5" t="n">
        <v>25</v>
      </c>
      <c r="J308" s="54" t="s">
        <v>38</v>
      </c>
      <c r="K308" s="0"/>
      <c r="L308" s="0"/>
      <c r="U308" s="0"/>
      <c r="V308" s="0"/>
      <c r="W308" s="0"/>
      <c r="X308" s="0"/>
      <c r="Y308" s="0"/>
    </row>
    <row r="309" customFormat="false" ht="12.8" hidden="false" customHeight="false" outlineLevel="0" collapsed="false">
      <c r="G309" s="25" t="n">
        <v>44768</v>
      </c>
      <c r="H309" s="32" t="s">
        <v>15</v>
      </c>
      <c r="I309" s="5" t="n">
        <v>-55.28</v>
      </c>
      <c r="J309" s="54" t="s">
        <v>37</v>
      </c>
      <c r="K309" s="0"/>
      <c r="L309" s="0"/>
      <c r="U309" s="0"/>
      <c r="V309" s="0"/>
      <c r="W309" s="0"/>
      <c r="X309" s="0"/>
      <c r="Y309" s="0"/>
    </row>
    <row r="310" customFormat="false" ht="12.8" hidden="false" customHeight="false" outlineLevel="0" collapsed="false">
      <c r="G310" s="25" t="n">
        <v>44768</v>
      </c>
      <c r="H310" s="43" t="s">
        <v>23</v>
      </c>
      <c r="I310" s="5" t="n">
        <v>-30</v>
      </c>
      <c r="J310" s="55" t="s">
        <v>44</v>
      </c>
      <c r="K310" s="0"/>
      <c r="L310" s="0"/>
      <c r="U310" s="0"/>
      <c r="V310" s="0"/>
      <c r="W310" s="0"/>
      <c r="X310" s="0"/>
      <c r="Y310" s="0"/>
    </row>
    <row r="311" customFormat="false" ht="12.8" hidden="false" customHeight="false" outlineLevel="0" collapsed="false">
      <c r="G311" s="25" t="n">
        <v>44768</v>
      </c>
      <c r="H311" s="26" t="s">
        <v>10</v>
      </c>
      <c r="I311" s="5" t="n">
        <v>-60</v>
      </c>
      <c r="J311" s="54" t="s">
        <v>38</v>
      </c>
      <c r="K311" s="0"/>
      <c r="L311" s="0"/>
      <c r="U311" s="0"/>
      <c r="V311" s="0"/>
      <c r="W311" s="0"/>
      <c r="X311" s="0"/>
      <c r="Y311" s="0"/>
    </row>
    <row r="312" customFormat="false" ht="12.8" hidden="false" customHeight="false" outlineLevel="0" collapsed="false">
      <c r="G312" s="25" t="n">
        <v>44768</v>
      </c>
      <c r="H312" s="32" t="s">
        <v>15</v>
      </c>
      <c r="I312" s="5" t="n">
        <v>60</v>
      </c>
      <c r="J312" s="54" t="s">
        <v>38</v>
      </c>
      <c r="K312" s="0"/>
      <c r="L312" s="0"/>
      <c r="U312" s="0"/>
      <c r="V312" s="0"/>
      <c r="W312" s="0"/>
      <c r="X312" s="0"/>
      <c r="Y312" s="0"/>
    </row>
    <row r="313" customFormat="false" ht="12.8" hidden="false" customHeight="false" outlineLevel="0" collapsed="false">
      <c r="G313" s="25" t="n">
        <v>44769</v>
      </c>
      <c r="H313" s="26" t="s">
        <v>10</v>
      </c>
      <c r="I313" s="5" t="n">
        <v>-65</v>
      </c>
      <c r="J313" s="54" t="s">
        <v>38</v>
      </c>
      <c r="K313" s="0"/>
      <c r="L313" s="0"/>
      <c r="U313" s="0"/>
      <c r="V313" s="0"/>
      <c r="W313" s="0"/>
      <c r="X313" s="0"/>
      <c r="Y313" s="0"/>
    </row>
    <row r="314" customFormat="false" ht="12.8" hidden="false" customHeight="false" outlineLevel="0" collapsed="false">
      <c r="G314" s="25" t="n">
        <v>44769</v>
      </c>
      <c r="H314" s="32" t="s">
        <v>15</v>
      </c>
      <c r="I314" s="5" t="n">
        <v>65</v>
      </c>
      <c r="J314" s="54" t="s">
        <v>38</v>
      </c>
      <c r="K314" s="0"/>
      <c r="L314" s="0"/>
      <c r="U314" s="0"/>
      <c r="V314" s="0"/>
      <c r="W314" s="0"/>
      <c r="X314" s="0"/>
      <c r="Y314" s="0"/>
    </row>
    <row r="315" customFormat="false" ht="12.8" hidden="false" customHeight="false" outlineLevel="0" collapsed="false">
      <c r="G315" s="25" t="n">
        <v>44769</v>
      </c>
      <c r="H315" s="32" t="s">
        <v>15</v>
      </c>
      <c r="I315" s="5" t="n">
        <v>-65</v>
      </c>
      <c r="J315" s="54" t="s">
        <v>38</v>
      </c>
      <c r="K315" s="0"/>
      <c r="L315" s="0"/>
      <c r="U315" s="0"/>
      <c r="V315" s="0"/>
      <c r="W315" s="0"/>
      <c r="X315" s="0"/>
      <c r="Y315" s="0"/>
    </row>
    <row r="316" customFormat="false" ht="12.8" hidden="false" customHeight="false" outlineLevel="0" collapsed="false">
      <c r="G316" s="25" t="n">
        <v>44769</v>
      </c>
      <c r="H316" s="48" t="s">
        <v>26</v>
      </c>
      <c r="I316" s="5" t="n">
        <v>65</v>
      </c>
      <c r="J316" s="54" t="s">
        <v>38</v>
      </c>
      <c r="K316" s="0"/>
      <c r="L316" s="0"/>
      <c r="U316" s="0"/>
      <c r="V316" s="0"/>
      <c r="W316" s="0"/>
      <c r="X316" s="0"/>
      <c r="Y316" s="0"/>
    </row>
    <row r="317" customFormat="false" ht="12.8" hidden="false" customHeight="false" outlineLevel="0" collapsed="false">
      <c r="G317" s="25" t="n">
        <v>44769</v>
      </c>
      <c r="H317" s="32" t="s">
        <v>15</v>
      </c>
      <c r="I317" s="5" t="n">
        <v>-54.12</v>
      </c>
      <c r="J317" s="54" t="s">
        <v>37</v>
      </c>
      <c r="K317" s="0"/>
      <c r="L317" s="0"/>
      <c r="U317" s="0"/>
      <c r="V317" s="0"/>
      <c r="W317" s="0"/>
      <c r="X317" s="0"/>
      <c r="Y317" s="0"/>
    </row>
    <row r="318" customFormat="false" ht="12.8" hidden="false" customHeight="false" outlineLevel="0" collapsed="false">
      <c r="G318" s="25" t="n">
        <v>44769</v>
      </c>
      <c r="H318" s="26" t="s">
        <v>10</v>
      </c>
      <c r="I318" s="5" t="n">
        <v>-55</v>
      </c>
      <c r="J318" s="54" t="s">
        <v>38</v>
      </c>
      <c r="K318" s="0"/>
      <c r="L318" s="0"/>
      <c r="U318" s="0"/>
      <c r="V318" s="0"/>
      <c r="W318" s="0"/>
      <c r="X318" s="0"/>
      <c r="Y318" s="0"/>
    </row>
    <row r="319" customFormat="false" ht="12.8" hidden="false" customHeight="false" outlineLevel="0" collapsed="false">
      <c r="G319" s="25" t="n">
        <v>44769</v>
      </c>
      <c r="H319" s="32" t="s">
        <v>15</v>
      </c>
      <c r="I319" s="5" t="n">
        <v>55</v>
      </c>
      <c r="J319" s="54" t="s">
        <v>38</v>
      </c>
      <c r="K319" s="0"/>
      <c r="L319" s="0"/>
      <c r="U319" s="0"/>
      <c r="V319" s="0"/>
      <c r="W319" s="0"/>
      <c r="X319" s="0"/>
      <c r="Y319" s="0"/>
    </row>
    <row r="320" customFormat="false" ht="12.8" hidden="false" customHeight="false" outlineLevel="0" collapsed="false">
      <c r="G320" s="25" t="n">
        <v>44769</v>
      </c>
      <c r="H320" s="32" t="s">
        <v>15</v>
      </c>
      <c r="I320" s="5" t="n">
        <f aca="false">-40.08-12.06</f>
        <v>-52.14</v>
      </c>
      <c r="J320" s="54" t="s">
        <v>37</v>
      </c>
      <c r="K320" s="5"/>
      <c r="L320" s="0"/>
      <c r="U320" s="0"/>
      <c r="V320" s="0"/>
      <c r="W320" s="0"/>
      <c r="X320" s="0"/>
      <c r="Y320" s="0"/>
    </row>
    <row r="321" customFormat="false" ht="12.8" hidden="false" customHeight="false" outlineLevel="0" collapsed="false">
      <c r="G321" s="25" t="n">
        <v>44769</v>
      </c>
      <c r="H321" s="52" t="s">
        <v>14</v>
      </c>
      <c r="I321" s="5" t="n">
        <f aca="false">1.38+0.06</f>
        <v>1.44</v>
      </c>
      <c r="J321" s="0" t="s">
        <v>40</v>
      </c>
      <c r="K321" s="5"/>
      <c r="L321" s="0"/>
      <c r="U321" s="0"/>
      <c r="V321" s="0"/>
      <c r="W321" s="0"/>
      <c r="X321" s="0"/>
      <c r="Y321" s="0"/>
    </row>
    <row r="322" customFormat="false" ht="12.8" hidden="false" customHeight="false" outlineLevel="0" collapsed="false">
      <c r="G322" s="25" t="n">
        <v>44769</v>
      </c>
      <c r="H322" s="26" t="s">
        <v>10</v>
      </c>
      <c r="I322" s="5" t="n">
        <v>-50</v>
      </c>
      <c r="J322" s="54" t="s">
        <v>38</v>
      </c>
      <c r="K322" s="0"/>
      <c r="L322" s="0"/>
      <c r="U322" s="0"/>
      <c r="V322" s="0"/>
      <c r="W322" s="0"/>
      <c r="X322" s="0"/>
      <c r="Y322" s="0"/>
    </row>
    <row r="323" customFormat="false" ht="12.8" hidden="false" customHeight="false" outlineLevel="0" collapsed="false">
      <c r="G323" s="25" t="n">
        <v>44769</v>
      </c>
      <c r="H323" s="32" t="s">
        <v>15</v>
      </c>
      <c r="I323" s="5" t="n">
        <v>50</v>
      </c>
      <c r="J323" s="54" t="s">
        <v>38</v>
      </c>
      <c r="K323" s="0"/>
      <c r="L323" s="0"/>
      <c r="U323" s="0"/>
      <c r="V323" s="0"/>
      <c r="W323" s="0"/>
      <c r="X323" s="0"/>
      <c r="Y323" s="0"/>
    </row>
    <row r="324" customFormat="false" ht="12.8" hidden="false" customHeight="false" outlineLevel="0" collapsed="false">
      <c r="G324" s="25" t="n">
        <v>44770</v>
      </c>
      <c r="H324" s="32" t="s">
        <v>15</v>
      </c>
      <c r="I324" s="5" t="n">
        <v>-50.15</v>
      </c>
      <c r="J324" s="54" t="s">
        <v>37</v>
      </c>
      <c r="K324" s="0"/>
      <c r="L324" s="0"/>
      <c r="U324" s="0"/>
      <c r="V324" s="0"/>
      <c r="W324" s="0"/>
      <c r="X324" s="0"/>
      <c r="Y324" s="0"/>
    </row>
    <row r="325" customFormat="false" ht="12.8" hidden="false" customHeight="false" outlineLevel="0" collapsed="false">
      <c r="G325" s="25" t="n">
        <v>44770</v>
      </c>
      <c r="H325" s="48" t="s">
        <v>26</v>
      </c>
      <c r="I325" s="5" t="n">
        <v>-50</v>
      </c>
      <c r="J325" s="0" t="s">
        <v>56</v>
      </c>
      <c r="K325" s="0"/>
      <c r="L325" s="0"/>
      <c r="U325" s="0"/>
      <c r="V325" s="0"/>
      <c r="W325" s="0"/>
      <c r="X325" s="0"/>
      <c r="Y325" s="0"/>
    </row>
    <row r="326" customFormat="false" ht="12.8" hidden="false" customHeight="false" outlineLevel="0" collapsed="false">
      <c r="G326" s="25" t="n">
        <v>44770</v>
      </c>
      <c r="H326" s="52" t="s">
        <v>14</v>
      </c>
      <c r="I326" s="5" t="n">
        <v>50</v>
      </c>
      <c r="J326" s="0" t="s">
        <v>71</v>
      </c>
      <c r="K326" s="0"/>
      <c r="L326" s="0"/>
      <c r="U326" s="0"/>
      <c r="V326" s="0"/>
      <c r="W326" s="0"/>
      <c r="X326" s="0"/>
      <c r="Y326" s="0"/>
    </row>
    <row r="327" customFormat="false" ht="12.8" hidden="false" customHeight="false" outlineLevel="0" collapsed="false">
      <c r="G327" s="25" t="n">
        <v>44770</v>
      </c>
      <c r="H327" s="26" t="s">
        <v>10</v>
      </c>
      <c r="I327" s="5" t="n">
        <v>-30</v>
      </c>
      <c r="J327" s="54" t="s">
        <v>38</v>
      </c>
      <c r="K327" s="0"/>
      <c r="L327" s="0"/>
      <c r="U327" s="0"/>
      <c r="V327" s="0"/>
      <c r="W327" s="0"/>
      <c r="X327" s="0"/>
      <c r="Y327" s="0"/>
    </row>
    <row r="328" customFormat="false" ht="12.8" hidden="false" customHeight="false" outlineLevel="0" collapsed="false">
      <c r="G328" s="25" t="n">
        <v>44770</v>
      </c>
      <c r="H328" s="32" t="s">
        <v>15</v>
      </c>
      <c r="I328" s="5" t="n">
        <v>30</v>
      </c>
      <c r="J328" s="54" t="s">
        <v>38</v>
      </c>
      <c r="K328" s="0"/>
      <c r="L328" s="0"/>
      <c r="U328" s="0"/>
      <c r="V328" s="0"/>
      <c r="W328" s="0"/>
      <c r="X328" s="0"/>
      <c r="Y328" s="0"/>
    </row>
    <row r="329" customFormat="false" ht="12.8" hidden="false" customHeight="false" outlineLevel="0" collapsed="false">
      <c r="G329" s="25" t="n">
        <v>44770</v>
      </c>
      <c r="H329" s="32" t="s">
        <v>15</v>
      </c>
      <c r="I329" s="5" t="n">
        <f aca="false">-20.47-10.05</f>
        <v>-30.52</v>
      </c>
      <c r="J329" s="54" t="s">
        <v>37</v>
      </c>
      <c r="K329" s="0"/>
      <c r="L329" s="0"/>
      <c r="U329" s="0"/>
      <c r="V329" s="0"/>
      <c r="W329" s="0"/>
      <c r="X329" s="0"/>
      <c r="Y329" s="0"/>
    </row>
    <row r="330" customFormat="false" ht="12.8" hidden="false" customHeight="false" outlineLevel="0" collapsed="false">
      <c r="G330" s="25" t="n">
        <v>44770</v>
      </c>
      <c r="H330" s="26" t="s">
        <v>10</v>
      </c>
      <c r="I330" s="5" t="n">
        <v>-30</v>
      </c>
      <c r="J330" s="54" t="s">
        <v>38</v>
      </c>
      <c r="K330" s="0"/>
      <c r="L330" s="0"/>
      <c r="U330" s="0"/>
      <c r="V330" s="0"/>
      <c r="W330" s="0"/>
      <c r="X330" s="0"/>
      <c r="Y330" s="0"/>
    </row>
    <row r="331" customFormat="false" ht="12.8" hidden="false" customHeight="false" outlineLevel="0" collapsed="false">
      <c r="G331" s="25" t="n">
        <v>44770</v>
      </c>
      <c r="H331" s="32" t="s">
        <v>15</v>
      </c>
      <c r="I331" s="5" t="n">
        <v>30</v>
      </c>
      <c r="J331" s="54" t="s">
        <v>38</v>
      </c>
      <c r="K331" s="0"/>
      <c r="L331" s="0"/>
      <c r="U331" s="0"/>
      <c r="V331" s="0"/>
      <c r="W331" s="0"/>
      <c r="X331" s="0"/>
      <c r="Y331" s="0"/>
    </row>
    <row r="332" customFormat="false" ht="12.8" hidden="false" customHeight="false" outlineLevel="0" collapsed="false">
      <c r="G332" s="25" t="n">
        <v>44770</v>
      </c>
      <c r="H332" s="32" t="s">
        <v>15</v>
      </c>
      <c r="I332" s="5" t="n">
        <v>-29.66</v>
      </c>
      <c r="J332" s="54" t="s">
        <v>37</v>
      </c>
      <c r="K332" s="0"/>
      <c r="L332" s="0"/>
      <c r="U332" s="0"/>
      <c r="V332" s="0"/>
      <c r="W332" s="0"/>
      <c r="X332" s="0"/>
      <c r="Y332" s="0"/>
    </row>
    <row r="333" customFormat="false" ht="12.8" hidden="false" customHeight="false" outlineLevel="0" collapsed="false">
      <c r="G333" s="25" t="n">
        <v>44770</v>
      </c>
      <c r="H333" s="43" t="s">
        <v>23</v>
      </c>
      <c r="I333" s="5" t="n">
        <v>250</v>
      </c>
      <c r="J333" s="10" t="s">
        <v>72</v>
      </c>
      <c r="K333" s="0"/>
      <c r="L333" s="0"/>
      <c r="U333" s="0"/>
      <c r="V333" s="0"/>
      <c r="W333" s="0"/>
      <c r="X333" s="0"/>
      <c r="Y333" s="0"/>
    </row>
    <row r="334" customFormat="false" ht="12.8" hidden="false" customHeight="false" outlineLevel="0" collapsed="false">
      <c r="G334" s="25" t="n">
        <v>44770</v>
      </c>
      <c r="H334" s="43" t="s">
        <v>23</v>
      </c>
      <c r="I334" s="5" t="n">
        <v>-5</v>
      </c>
      <c r="J334" s="10" t="s">
        <v>43</v>
      </c>
      <c r="K334" s="0"/>
      <c r="L334" s="0"/>
      <c r="U334" s="0"/>
      <c r="V334" s="0"/>
      <c r="W334" s="0"/>
      <c r="X334" s="0"/>
      <c r="Y334" s="0"/>
    </row>
    <row r="335" customFormat="false" ht="12.8" hidden="false" customHeight="false" outlineLevel="0" collapsed="false">
      <c r="G335" s="25" t="n">
        <v>44771</v>
      </c>
      <c r="H335" s="26" t="s">
        <v>10</v>
      </c>
      <c r="I335" s="5" t="n">
        <v>-50</v>
      </c>
      <c r="J335" s="54" t="s">
        <v>38</v>
      </c>
      <c r="K335" s="0"/>
      <c r="L335" s="0"/>
      <c r="U335" s="0"/>
      <c r="V335" s="0"/>
      <c r="W335" s="0"/>
      <c r="X335" s="0"/>
      <c r="Y335" s="0"/>
    </row>
    <row r="336" customFormat="false" ht="12.8" hidden="false" customHeight="false" outlineLevel="0" collapsed="false">
      <c r="G336" s="25" t="n">
        <v>44771</v>
      </c>
      <c r="H336" s="32" t="s">
        <v>15</v>
      </c>
      <c r="I336" s="5" t="n">
        <v>50</v>
      </c>
      <c r="J336" s="54" t="s">
        <v>38</v>
      </c>
      <c r="K336" s="5"/>
      <c r="L336" s="0"/>
      <c r="U336" s="0"/>
      <c r="V336" s="0"/>
      <c r="W336" s="0"/>
      <c r="X336" s="0"/>
      <c r="Y336" s="0"/>
    </row>
    <row r="337" customFormat="false" ht="12.8" hidden="false" customHeight="false" outlineLevel="0" collapsed="false">
      <c r="G337" s="25" t="n">
        <v>44771</v>
      </c>
      <c r="H337" s="32" t="s">
        <v>15</v>
      </c>
      <c r="I337" s="5" t="n">
        <v>-53.24</v>
      </c>
      <c r="J337" s="54" t="s">
        <v>37</v>
      </c>
      <c r="K337" s="0"/>
      <c r="L337" s="0"/>
      <c r="U337" s="0"/>
      <c r="V337" s="0"/>
      <c r="W337" s="0"/>
      <c r="X337" s="0"/>
      <c r="Y337" s="0"/>
    </row>
    <row r="338" customFormat="false" ht="12.8" hidden="false" customHeight="false" outlineLevel="0" collapsed="false">
      <c r="G338" s="25" t="n">
        <v>44771</v>
      </c>
      <c r="H338" s="26" t="s">
        <v>10</v>
      </c>
      <c r="I338" s="5" t="n">
        <v>-30</v>
      </c>
      <c r="J338" s="54" t="s">
        <v>38</v>
      </c>
      <c r="K338" s="5"/>
      <c r="L338" s="0"/>
      <c r="U338" s="0"/>
      <c r="V338" s="0"/>
      <c r="W338" s="0"/>
      <c r="X338" s="0"/>
      <c r="Y338" s="0"/>
    </row>
    <row r="339" customFormat="false" ht="12.8" hidden="false" customHeight="false" outlineLevel="0" collapsed="false">
      <c r="G339" s="25" t="n">
        <v>44771</v>
      </c>
      <c r="H339" s="32" t="s">
        <v>15</v>
      </c>
      <c r="I339" s="5" t="n">
        <v>30</v>
      </c>
      <c r="J339" s="54" t="s">
        <v>38</v>
      </c>
      <c r="K339" s="5"/>
      <c r="L339" s="0"/>
      <c r="U339" s="0"/>
      <c r="V339" s="0"/>
      <c r="W339" s="0"/>
      <c r="X339" s="0"/>
      <c r="Y339" s="0"/>
    </row>
    <row r="340" customFormat="false" ht="12.8" hidden="false" customHeight="false" outlineLevel="0" collapsed="false">
      <c r="G340" s="25" t="n">
        <v>44771</v>
      </c>
      <c r="H340" s="26" t="s">
        <v>10</v>
      </c>
      <c r="I340" s="5" t="n">
        <v>-20</v>
      </c>
      <c r="J340" s="54" t="s">
        <v>38</v>
      </c>
      <c r="K340" s="0"/>
      <c r="L340" s="0"/>
      <c r="U340" s="0"/>
      <c r="V340" s="0"/>
      <c r="W340" s="0"/>
      <c r="X340" s="0"/>
      <c r="Y340" s="0"/>
    </row>
    <row r="341" customFormat="false" ht="12.8" hidden="false" customHeight="false" outlineLevel="0" collapsed="false">
      <c r="G341" s="25" t="n">
        <v>44771</v>
      </c>
      <c r="H341" s="32" t="s">
        <v>15</v>
      </c>
      <c r="I341" s="5" t="n">
        <v>20</v>
      </c>
      <c r="J341" s="54" t="s">
        <v>38</v>
      </c>
      <c r="K341" s="0"/>
      <c r="L341" s="0"/>
      <c r="U341" s="0"/>
      <c r="V341" s="0"/>
      <c r="W341" s="0"/>
      <c r="X341" s="0"/>
      <c r="Y341" s="0"/>
    </row>
    <row r="342" customFormat="false" ht="12.8" hidden="false" customHeight="false" outlineLevel="0" collapsed="false">
      <c r="G342" s="25" t="n">
        <v>44771</v>
      </c>
      <c r="H342" s="32" t="s">
        <v>15</v>
      </c>
      <c r="I342" s="5" t="n">
        <v>-50.11</v>
      </c>
      <c r="J342" s="54" t="s">
        <v>37</v>
      </c>
      <c r="K342" s="0"/>
      <c r="L342" s="0"/>
      <c r="U342" s="0"/>
      <c r="V342" s="0"/>
      <c r="W342" s="0"/>
      <c r="X342" s="0"/>
      <c r="Y342" s="0"/>
    </row>
    <row r="343" customFormat="false" ht="12.8" hidden="false" customHeight="false" outlineLevel="0" collapsed="false">
      <c r="G343" s="25" t="n">
        <v>44772</v>
      </c>
      <c r="H343" s="26" t="s">
        <v>10</v>
      </c>
      <c r="I343" s="5" t="n">
        <v>1.04</v>
      </c>
      <c r="J343" s="0" t="s">
        <v>40</v>
      </c>
      <c r="K343" s="0"/>
      <c r="L343" s="0"/>
      <c r="U343" s="0"/>
      <c r="V343" s="0"/>
      <c r="W343" s="0"/>
      <c r="X343" s="0"/>
      <c r="Y343" s="0"/>
    </row>
    <row r="344" customFormat="false" ht="12.8" hidden="false" customHeight="false" outlineLevel="0" collapsed="false">
      <c r="G344" s="25" t="n">
        <v>44772</v>
      </c>
      <c r="H344" s="26" t="s">
        <v>10</v>
      </c>
      <c r="I344" s="5" t="n">
        <v>-50</v>
      </c>
      <c r="J344" s="54" t="s">
        <v>38</v>
      </c>
      <c r="K344" s="0"/>
      <c r="L344" s="0"/>
      <c r="U344" s="0"/>
      <c r="V344" s="0"/>
      <c r="W344" s="0"/>
      <c r="X344" s="0"/>
      <c r="Y344" s="0"/>
    </row>
    <row r="345" customFormat="false" ht="12.8" hidden="false" customHeight="false" outlineLevel="0" collapsed="false">
      <c r="G345" s="25" t="n">
        <v>44772</v>
      </c>
      <c r="H345" s="32" t="s">
        <v>15</v>
      </c>
      <c r="I345" s="5" t="n">
        <v>50</v>
      </c>
      <c r="J345" s="54" t="s">
        <v>38</v>
      </c>
      <c r="K345" s="0"/>
      <c r="L345" s="0"/>
      <c r="U345" s="0"/>
      <c r="V345" s="0"/>
      <c r="W345" s="0"/>
      <c r="X345" s="0"/>
      <c r="Y345" s="0"/>
    </row>
    <row r="346" customFormat="false" ht="12.8" hidden="false" customHeight="false" outlineLevel="0" collapsed="false">
      <c r="G346" s="25" t="n">
        <v>44772</v>
      </c>
      <c r="H346" s="32" t="s">
        <v>15</v>
      </c>
      <c r="I346" s="5" t="n">
        <v>-52.17</v>
      </c>
      <c r="J346" s="54" t="s">
        <v>37</v>
      </c>
      <c r="K346" s="0"/>
      <c r="L346" s="0"/>
      <c r="U346" s="0"/>
      <c r="V346" s="0"/>
      <c r="W346" s="0"/>
      <c r="X346" s="0"/>
      <c r="Y346" s="0"/>
    </row>
    <row r="347" customFormat="false" ht="12.8" hidden="false" customHeight="false" outlineLevel="0" collapsed="false">
      <c r="G347" s="25" t="n">
        <v>44772</v>
      </c>
      <c r="H347" s="43" t="s">
        <v>23</v>
      </c>
      <c r="I347" s="5" t="n">
        <v>-56.26</v>
      </c>
      <c r="J347" s="10" t="s">
        <v>37</v>
      </c>
      <c r="K347" s="0"/>
      <c r="L347" s="0"/>
      <c r="U347" s="0"/>
      <c r="V347" s="0"/>
      <c r="W347" s="0"/>
      <c r="X347" s="0"/>
      <c r="Y347" s="0"/>
    </row>
    <row r="348" customFormat="false" ht="12.8" hidden="false" customHeight="false" outlineLevel="0" collapsed="false">
      <c r="G348" s="25" t="n">
        <v>44773</v>
      </c>
      <c r="H348" s="32" t="s">
        <v>15</v>
      </c>
      <c r="I348" s="5" t="n">
        <v>-2.96</v>
      </c>
      <c r="J348" s="0" t="s">
        <v>57</v>
      </c>
      <c r="K348" s="0"/>
      <c r="L348" s="0"/>
      <c r="U348" s="0"/>
      <c r="V348" s="0"/>
      <c r="W348" s="0"/>
      <c r="X348" s="0"/>
      <c r="Y348" s="0"/>
    </row>
    <row r="349" customFormat="false" ht="12.8" hidden="false" customHeight="false" outlineLevel="0" collapsed="false">
      <c r="G349" s="25" t="n">
        <v>44773</v>
      </c>
      <c r="H349" s="26" t="s">
        <v>10</v>
      </c>
      <c r="I349" s="5" t="n">
        <v>2.96</v>
      </c>
      <c r="J349" s="0" t="s">
        <v>57</v>
      </c>
      <c r="K349" s="0"/>
      <c r="L349" s="0"/>
      <c r="U349" s="0"/>
      <c r="V349" s="0"/>
      <c r="W349" s="0"/>
      <c r="X349" s="0"/>
      <c r="Y349" s="0"/>
    </row>
    <row r="350" customFormat="false" ht="12.8" hidden="false" customHeight="false" outlineLevel="0" collapsed="false">
      <c r="G350" s="25" t="n">
        <v>44773</v>
      </c>
      <c r="H350" s="43" t="s">
        <v>23</v>
      </c>
      <c r="I350" s="5" t="n">
        <v>-52.17</v>
      </c>
      <c r="J350" s="10" t="s">
        <v>37</v>
      </c>
      <c r="K350" s="0"/>
      <c r="L350" s="0"/>
      <c r="U350" s="0"/>
      <c r="V350" s="0"/>
      <c r="W350" s="0"/>
      <c r="X350" s="0"/>
      <c r="Y350" s="0"/>
    </row>
    <row r="351" customFormat="false" ht="12.8" hidden="false" customHeight="false" outlineLevel="0" collapsed="false">
      <c r="G351" s="25" t="n">
        <v>44773</v>
      </c>
      <c r="H351" s="43" t="s">
        <v>23</v>
      </c>
      <c r="I351" s="5" t="n">
        <v>-5</v>
      </c>
      <c r="J351" s="10" t="s">
        <v>73</v>
      </c>
      <c r="K351" s="0"/>
      <c r="L351" s="0"/>
      <c r="U351" s="0"/>
      <c r="V351" s="0"/>
      <c r="W351" s="0"/>
      <c r="X351" s="0"/>
      <c r="Y351" s="0"/>
    </row>
    <row r="352" customFormat="false" ht="12.8" hidden="false" customHeight="false" outlineLevel="0" collapsed="false">
      <c r="G352" s="25" t="n">
        <v>44773</v>
      </c>
      <c r="H352" s="43" t="s">
        <v>23</v>
      </c>
      <c r="I352" s="5" t="n">
        <f aca="false">-36.34</f>
        <v>-36.34</v>
      </c>
      <c r="J352" s="10" t="s">
        <v>37</v>
      </c>
      <c r="K352" s="0"/>
      <c r="L352" s="0"/>
      <c r="U352" s="0"/>
      <c r="V352" s="0"/>
      <c r="W352" s="0"/>
      <c r="X352" s="0"/>
      <c r="Y352" s="0"/>
    </row>
    <row r="353" customFormat="false" ht="12.8" hidden="false" customHeight="false" outlineLevel="0" collapsed="false">
      <c r="G353" s="25" t="n">
        <v>44773</v>
      </c>
      <c r="H353" s="43" t="s">
        <v>23</v>
      </c>
      <c r="I353" s="5" t="n">
        <v>-22.37</v>
      </c>
      <c r="J353" s="10" t="s">
        <v>37</v>
      </c>
      <c r="K353" s="0"/>
      <c r="L353" s="0"/>
      <c r="U353" s="0"/>
      <c r="V353" s="0"/>
      <c r="W353" s="0"/>
      <c r="X353" s="0"/>
      <c r="Y353" s="0"/>
    </row>
    <row r="354" customFormat="false" ht="12.8" hidden="false" customHeight="false" outlineLevel="0" collapsed="false">
      <c r="G354" s="25" t="n">
        <v>44774</v>
      </c>
      <c r="H354" s="52" t="s">
        <v>14</v>
      </c>
      <c r="I354" s="5" t="n">
        <v>0.24</v>
      </c>
      <c r="J354" s="0" t="s">
        <v>40</v>
      </c>
      <c r="K354" s="0"/>
      <c r="L354" s="0"/>
      <c r="U354" s="0"/>
      <c r="V354" s="0"/>
      <c r="W354" s="0"/>
      <c r="X354" s="0"/>
      <c r="Y354" s="0"/>
    </row>
    <row r="355" customFormat="false" ht="12.8" hidden="false" customHeight="false" outlineLevel="0" collapsed="false">
      <c r="G355" s="25" t="n">
        <v>44774</v>
      </c>
      <c r="H355" s="48" t="s">
        <v>26</v>
      </c>
      <c r="I355" s="5" t="n">
        <f aca="false">-5-5-5</f>
        <v>-15</v>
      </c>
      <c r="J355" s="0" t="s">
        <v>74</v>
      </c>
      <c r="K355" s="0"/>
      <c r="L355" s="0"/>
      <c r="U355" s="0"/>
      <c r="V355" s="0"/>
      <c r="W355" s="0"/>
      <c r="X355" s="0"/>
      <c r="Y355" s="0"/>
    </row>
    <row r="356" customFormat="false" ht="12.8" hidden="false" customHeight="false" outlineLevel="0" collapsed="false">
      <c r="G356" s="25" t="n">
        <v>44774</v>
      </c>
      <c r="H356" s="52" t="s">
        <v>14</v>
      </c>
      <c r="I356" s="5" t="n">
        <v>-2003</v>
      </c>
      <c r="J356" s="10" t="s">
        <v>75</v>
      </c>
      <c r="K356" s="5"/>
      <c r="L356" s="0"/>
      <c r="U356" s="0"/>
      <c r="V356" s="0"/>
      <c r="W356" s="0"/>
      <c r="X356" s="0"/>
      <c r="Y356" s="0"/>
    </row>
    <row r="357" customFormat="false" ht="12.8" hidden="false" customHeight="false" outlineLevel="0" collapsed="false">
      <c r="G357" s="25" t="n">
        <v>44774</v>
      </c>
      <c r="H357" s="48" t="s">
        <v>26</v>
      </c>
      <c r="I357" s="5" t="n">
        <v>2003</v>
      </c>
      <c r="J357" s="10" t="s">
        <v>76</v>
      </c>
      <c r="K357" s="5"/>
      <c r="L357" s="0"/>
      <c r="U357" s="0"/>
      <c r="V357" s="0"/>
      <c r="W357" s="0"/>
      <c r="X357" s="0"/>
      <c r="Y357" s="0"/>
    </row>
    <row r="358" customFormat="false" ht="12.8" hidden="false" customHeight="false" outlineLevel="0" collapsed="false">
      <c r="G358" s="25" t="n">
        <v>44774</v>
      </c>
      <c r="H358" s="48" t="s">
        <v>26</v>
      </c>
      <c r="I358" s="5" t="n">
        <v>-2000</v>
      </c>
      <c r="J358" s="54" t="s">
        <v>77</v>
      </c>
      <c r="K358" s="5"/>
      <c r="L358" s="0"/>
      <c r="U358" s="0"/>
      <c r="V358" s="0"/>
      <c r="W358" s="0"/>
      <c r="X358" s="0"/>
      <c r="Y358" s="0"/>
    </row>
    <row r="359" customFormat="false" ht="12.8" hidden="false" customHeight="false" outlineLevel="0" collapsed="false">
      <c r="G359" s="25" t="n">
        <v>44774</v>
      </c>
      <c r="H359" s="48" t="s">
        <v>26</v>
      </c>
      <c r="I359" s="5" t="n">
        <v>-3</v>
      </c>
      <c r="J359" s="10" t="s">
        <v>78</v>
      </c>
      <c r="K359" s="5"/>
      <c r="L359" s="0"/>
      <c r="U359" s="0"/>
      <c r="V359" s="0"/>
      <c r="W359" s="0"/>
      <c r="X359" s="0"/>
      <c r="Y359" s="0"/>
    </row>
    <row r="360" customFormat="false" ht="12.8" hidden="false" customHeight="false" outlineLevel="0" collapsed="false">
      <c r="G360" s="25" t="n">
        <v>44774</v>
      </c>
      <c r="H360" s="32" t="s">
        <v>15</v>
      </c>
      <c r="I360" s="5" t="n">
        <v>2000</v>
      </c>
      <c r="J360" s="54" t="s">
        <v>79</v>
      </c>
      <c r="K360" s="5"/>
      <c r="L360" s="0"/>
      <c r="U360" s="0"/>
      <c r="V360" s="0"/>
      <c r="W360" s="0"/>
      <c r="X360" s="0"/>
      <c r="Y360" s="0"/>
    </row>
    <row r="361" customFormat="false" ht="12.8" hidden="false" customHeight="false" outlineLevel="0" collapsed="false">
      <c r="G361" s="25" t="n">
        <v>44774</v>
      </c>
      <c r="H361" s="43" t="s">
        <v>23</v>
      </c>
      <c r="I361" s="5" t="n">
        <v>-51.72</v>
      </c>
      <c r="J361" s="10" t="s">
        <v>37</v>
      </c>
      <c r="K361" s="0"/>
      <c r="L361" s="0"/>
      <c r="U361" s="0"/>
      <c r="V361" s="0"/>
      <c r="W361" s="0"/>
      <c r="X361" s="0"/>
      <c r="Y361" s="0"/>
    </row>
    <row r="362" customFormat="false" ht="12.8" hidden="false" customHeight="false" outlineLevel="0" collapsed="false">
      <c r="G362" s="25" t="n">
        <v>44774</v>
      </c>
      <c r="H362" s="43" t="s">
        <v>23</v>
      </c>
      <c r="I362" s="5" t="n">
        <v>-45.99</v>
      </c>
      <c r="J362" s="10" t="s">
        <v>37</v>
      </c>
      <c r="K362" s="0"/>
      <c r="L362" s="0"/>
      <c r="U362" s="0"/>
      <c r="V362" s="0"/>
      <c r="W362" s="0"/>
      <c r="X362" s="0"/>
      <c r="Y362" s="0"/>
    </row>
    <row r="363" customFormat="false" ht="12.8" hidden="false" customHeight="false" outlineLevel="0" collapsed="false">
      <c r="G363" s="25" t="n">
        <v>44774</v>
      </c>
      <c r="H363" s="32" t="s">
        <v>15</v>
      </c>
      <c r="I363" s="5" t="n">
        <v>-2000</v>
      </c>
      <c r="J363" s="0" t="s">
        <v>57</v>
      </c>
      <c r="K363" s="5"/>
      <c r="L363" s="0"/>
      <c r="U363" s="0"/>
      <c r="V363" s="0"/>
      <c r="W363" s="0"/>
      <c r="X363" s="0"/>
      <c r="Y363" s="0"/>
    </row>
    <row r="364" customFormat="false" ht="12.8" hidden="false" customHeight="false" outlineLevel="0" collapsed="false">
      <c r="G364" s="25" t="n">
        <v>44774</v>
      </c>
      <c r="H364" s="26" t="s">
        <v>10</v>
      </c>
      <c r="I364" s="5" t="n">
        <v>2000</v>
      </c>
      <c r="J364" s="0" t="s">
        <v>57</v>
      </c>
      <c r="K364" s="5"/>
      <c r="L364" s="0"/>
      <c r="U364" s="0"/>
      <c r="V364" s="0"/>
      <c r="W364" s="0"/>
      <c r="X364" s="0"/>
      <c r="Y364" s="0"/>
    </row>
    <row r="365" customFormat="false" ht="12.8" hidden="false" customHeight="false" outlineLevel="0" collapsed="false">
      <c r="G365" s="25" t="n">
        <v>44774</v>
      </c>
      <c r="H365" s="38" t="s">
        <v>21</v>
      </c>
      <c r="I365" s="5" t="n">
        <v>-15</v>
      </c>
      <c r="J365" s="0" t="s">
        <v>80</v>
      </c>
      <c r="K365" s="5"/>
      <c r="L365" s="0"/>
      <c r="U365" s="0"/>
      <c r="V365" s="0"/>
      <c r="W365" s="0"/>
      <c r="X365" s="0"/>
      <c r="Y365" s="0"/>
    </row>
    <row r="366" customFormat="false" ht="12.8" hidden="false" customHeight="false" outlineLevel="0" collapsed="false">
      <c r="G366" s="25" t="n">
        <v>44775</v>
      </c>
      <c r="H366" s="26" t="s">
        <v>10</v>
      </c>
      <c r="I366" s="5" t="n">
        <v>-300</v>
      </c>
      <c r="J366" s="54" t="s">
        <v>38</v>
      </c>
      <c r="K366" s="0"/>
      <c r="L366" s="0"/>
      <c r="U366" s="0"/>
      <c r="V366" s="0"/>
      <c r="W366" s="0"/>
      <c r="X366" s="0"/>
      <c r="Y366" s="0"/>
    </row>
    <row r="367" customFormat="false" ht="12.8" hidden="false" customHeight="false" outlineLevel="0" collapsed="false">
      <c r="G367" s="25" t="n">
        <v>44775</v>
      </c>
      <c r="H367" s="32" t="s">
        <v>15</v>
      </c>
      <c r="I367" s="5" t="n">
        <v>300</v>
      </c>
      <c r="J367" s="54" t="s">
        <v>38</v>
      </c>
      <c r="K367" s="0"/>
      <c r="L367" s="0"/>
      <c r="U367" s="0"/>
      <c r="V367" s="0"/>
      <c r="W367" s="0"/>
      <c r="X367" s="0"/>
      <c r="Y367" s="0"/>
    </row>
    <row r="368" customFormat="false" ht="12.8" hidden="false" customHeight="false" outlineLevel="0" collapsed="false">
      <c r="G368" s="25" t="n">
        <v>44775</v>
      </c>
      <c r="H368" s="32" t="s">
        <v>15</v>
      </c>
      <c r="I368" s="5" t="n">
        <v>-300</v>
      </c>
      <c r="J368" s="54" t="s">
        <v>38</v>
      </c>
      <c r="K368" s="0"/>
      <c r="L368" s="0"/>
      <c r="U368" s="0"/>
      <c r="V368" s="0"/>
      <c r="W368" s="0"/>
      <c r="X368" s="0"/>
      <c r="Y368" s="0"/>
    </row>
    <row r="369" customFormat="false" ht="12.8" hidden="false" customHeight="false" outlineLevel="0" collapsed="false">
      <c r="G369" s="25" t="n">
        <v>44775</v>
      </c>
      <c r="H369" s="48" t="s">
        <v>26</v>
      </c>
      <c r="I369" s="5" t="n">
        <v>300</v>
      </c>
      <c r="J369" s="0" t="s">
        <v>38</v>
      </c>
      <c r="K369" s="0"/>
      <c r="L369" s="0"/>
      <c r="U369" s="0"/>
      <c r="V369" s="0"/>
      <c r="W369" s="0"/>
      <c r="X369" s="0"/>
      <c r="Y369" s="0"/>
    </row>
    <row r="370" customFormat="false" ht="12.8" hidden="false" customHeight="false" outlineLevel="0" collapsed="false">
      <c r="G370" s="25" t="n">
        <v>44775</v>
      </c>
      <c r="H370" s="26" t="s">
        <v>10</v>
      </c>
      <c r="I370" s="5" t="n">
        <v>-60</v>
      </c>
      <c r="J370" s="54" t="s">
        <v>38</v>
      </c>
      <c r="K370" s="0"/>
      <c r="L370" s="0"/>
      <c r="U370" s="0"/>
      <c r="V370" s="0"/>
      <c r="W370" s="0"/>
      <c r="X370" s="0"/>
      <c r="Y370" s="0"/>
    </row>
    <row r="371" customFormat="false" ht="12.8" hidden="false" customHeight="false" outlineLevel="0" collapsed="false">
      <c r="G371" s="25" t="n">
        <v>44775</v>
      </c>
      <c r="H371" s="32" t="s">
        <v>15</v>
      </c>
      <c r="I371" s="5" t="n">
        <v>60</v>
      </c>
      <c r="J371" s="54" t="s">
        <v>38</v>
      </c>
      <c r="K371" s="0"/>
      <c r="L371" s="0"/>
      <c r="U371" s="0"/>
      <c r="V371" s="0"/>
      <c r="W371" s="0"/>
      <c r="X371" s="0"/>
      <c r="Y371" s="0"/>
    </row>
    <row r="372" customFormat="false" ht="12.8" hidden="false" customHeight="false" outlineLevel="0" collapsed="false">
      <c r="G372" s="25" t="n">
        <v>44775</v>
      </c>
      <c r="H372" s="32" t="s">
        <v>15</v>
      </c>
      <c r="I372" s="5" t="n">
        <v>-50.57</v>
      </c>
      <c r="J372" s="54" t="s">
        <v>37</v>
      </c>
      <c r="K372" s="0"/>
      <c r="L372" s="0"/>
      <c r="U372" s="0"/>
      <c r="V372" s="0"/>
      <c r="W372" s="0"/>
      <c r="X372" s="0"/>
      <c r="Y372" s="0"/>
    </row>
    <row r="373" customFormat="false" ht="12.8" hidden="false" customHeight="false" outlineLevel="0" collapsed="false">
      <c r="G373" s="25" t="n">
        <v>44775</v>
      </c>
      <c r="H373" s="26" t="s">
        <v>10</v>
      </c>
      <c r="I373" s="5" t="n">
        <v>-24</v>
      </c>
      <c r="J373" s="54" t="s">
        <v>38</v>
      </c>
      <c r="K373" s="0"/>
      <c r="L373" s="0"/>
      <c r="U373" s="0"/>
      <c r="V373" s="0"/>
      <c r="W373" s="0"/>
      <c r="X373" s="0"/>
      <c r="Y373" s="0"/>
    </row>
    <row r="374" customFormat="false" ht="12.8" hidden="false" customHeight="false" outlineLevel="0" collapsed="false">
      <c r="G374" s="25" t="n">
        <v>44775</v>
      </c>
      <c r="H374" s="32" t="s">
        <v>15</v>
      </c>
      <c r="I374" s="5" t="n">
        <v>24</v>
      </c>
      <c r="J374" s="54" t="s">
        <v>38</v>
      </c>
      <c r="K374" s="0"/>
      <c r="L374" s="0"/>
      <c r="U374" s="0"/>
      <c r="V374" s="0"/>
      <c r="W374" s="0"/>
      <c r="X374" s="0"/>
      <c r="Y374" s="0"/>
    </row>
    <row r="375" customFormat="false" ht="12.8" hidden="false" customHeight="false" outlineLevel="0" collapsed="false">
      <c r="G375" s="25" t="n">
        <v>44776</v>
      </c>
      <c r="H375" s="48" t="s">
        <v>26</v>
      </c>
      <c r="I375" s="5" t="n">
        <v>-300</v>
      </c>
      <c r="J375" s="0" t="s">
        <v>81</v>
      </c>
      <c r="K375" s="0"/>
      <c r="L375" s="0"/>
      <c r="U375" s="0"/>
      <c r="V375" s="0"/>
      <c r="W375" s="0"/>
      <c r="X375" s="0"/>
      <c r="Y375" s="0"/>
    </row>
    <row r="376" customFormat="false" ht="12.8" hidden="false" customHeight="false" outlineLevel="0" collapsed="false">
      <c r="G376" s="25" t="n">
        <v>44776</v>
      </c>
      <c r="H376" s="26" t="s">
        <v>10</v>
      </c>
      <c r="I376" s="5" t="n">
        <v>-22</v>
      </c>
      <c r="J376" s="54" t="s">
        <v>38</v>
      </c>
      <c r="K376" s="0"/>
      <c r="L376" s="0"/>
      <c r="U376" s="0"/>
      <c r="V376" s="0"/>
      <c r="W376" s="0"/>
      <c r="X376" s="0"/>
      <c r="Y376" s="0"/>
    </row>
    <row r="377" customFormat="false" ht="12.8" hidden="false" customHeight="false" outlineLevel="0" collapsed="false">
      <c r="G377" s="25" t="n">
        <v>44776</v>
      </c>
      <c r="H377" s="32" t="s">
        <v>15</v>
      </c>
      <c r="I377" s="5" t="n">
        <v>22</v>
      </c>
      <c r="J377" s="54" t="s">
        <v>38</v>
      </c>
      <c r="K377" s="0"/>
      <c r="L377" s="0"/>
      <c r="U377" s="0"/>
      <c r="V377" s="0"/>
      <c r="W377" s="0"/>
      <c r="X377" s="0"/>
      <c r="Y377" s="0"/>
    </row>
    <row r="378" customFormat="false" ht="12.8" hidden="false" customHeight="false" outlineLevel="0" collapsed="false">
      <c r="G378" s="25" t="n">
        <v>44776</v>
      </c>
      <c r="H378" s="32" t="s">
        <v>15</v>
      </c>
      <c r="I378" s="5" t="n">
        <v>-51.9</v>
      </c>
      <c r="J378" s="54" t="s">
        <v>37</v>
      </c>
      <c r="K378" s="0"/>
      <c r="L378" s="0"/>
      <c r="U378" s="0"/>
      <c r="V378" s="0"/>
      <c r="W378" s="0"/>
      <c r="X378" s="0"/>
      <c r="Y378" s="0"/>
    </row>
    <row r="379" customFormat="false" ht="12.8" hidden="false" customHeight="false" outlineLevel="0" collapsed="false">
      <c r="G379" s="25" t="n">
        <v>44777</v>
      </c>
      <c r="H379" s="26" t="s">
        <v>10</v>
      </c>
      <c r="I379" s="5" t="n">
        <v>-55</v>
      </c>
      <c r="J379" s="54" t="s">
        <v>38</v>
      </c>
      <c r="K379" s="0"/>
      <c r="L379" s="0"/>
      <c r="U379" s="0"/>
      <c r="V379" s="0"/>
      <c r="W379" s="0"/>
      <c r="X379" s="0"/>
      <c r="Y379" s="0"/>
    </row>
    <row r="380" customFormat="false" ht="12.8" hidden="false" customHeight="false" outlineLevel="0" collapsed="false">
      <c r="G380" s="25" t="n">
        <v>44777</v>
      </c>
      <c r="H380" s="32" t="s">
        <v>15</v>
      </c>
      <c r="I380" s="5" t="n">
        <v>55</v>
      </c>
      <c r="J380" s="54" t="s">
        <v>38</v>
      </c>
      <c r="K380" s="0"/>
      <c r="L380" s="0"/>
      <c r="U380" s="0"/>
      <c r="V380" s="0"/>
      <c r="W380" s="0"/>
      <c r="X380" s="0"/>
      <c r="Y380" s="0"/>
    </row>
    <row r="381" customFormat="false" ht="12.8" hidden="false" customHeight="false" outlineLevel="0" collapsed="false">
      <c r="G381" s="25" t="n">
        <v>44777</v>
      </c>
      <c r="H381" s="32" t="s">
        <v>15</v>
      </c>
      <c r="I381" s="5" t="n">
        <v>-49.88</v>
      </c>
      <c r="J381" s="54" t="s">
        <v>37</v>
      </c>
      <c r="K381" s="0"/>
      <c r="L381" s="0"/>
      <c r="U381" s="0"/>
      <c r="V381" s="0"/>
      <c r="W381" s="0"/>
      <c r="X381" s="0"/>
      <c r="Y381" s="0"/>
    </row>
    <row r="382" customFormat="false" ht="12.8" hidden="false" customHeight="false" outlineLevel="0" collapsed="false">
      <c r="G382" s="25" t="n">
        <v>44778</v>
      </c>
      <c r="H382" s="26" t="s">
        <v>10</v>
      </c>
      <c r="I382" s="5" t="n">
        <v>-50</v>
      </c>
      <c r="J382" s="54" t="s">
        <v>38</v>
      </c>
      <c r="K382" s="0"/>
      <c r="L382" s="0"/>
      <c r="U382" s="0"/>
      <c r="V382" s="0"/>
      <c r="W382" s="0"/>
      <c r="X382" s="0"/>
      <c r="Y382" s="0"/>
    </row>
    <row r="383" customFormat="false" ht="12.8" hidden="false" customHeight="false" outlineLevel="0" collapsed="false">
      <c r="G383" s="25" t="n">
        <v>44778</v>
      </c>
      <c r="H383" s="32" t="s">
        <v>15</v>
      </c>
      <c r="I383" s="5" t="n">
        <v>50</v>
      </c>
      <c r="J383" s="54" t="s">
        <v>38</v>
      </c>
      <c r="K383" s="0"/>
      <c r="L383" s="0"/>
      <c r="U383" s="0"/>
      <c r="V383" s="0"/>
      <c r="W383" s="0"/>
      <c r="X383" s="0"/>
      <c r="Y383" s="0"/>
    </row>
    <row r="384" customFormat="false" ht="12.8" hidden="false" customHeight="false" outlineLevel="0" collapsed="false">
      <c r="G384" s="25" t="n">
        <v>44778</v>
      </c>
      <c r="H384" s="32" t="s">
        <v>15</v>
      </c>
      <c r="I384" s="5" t="n">
        <v>-53.81</v>
      </c>
      <c r="J384" s="54" t="s">
        <v>37</v>
      </c>
      <c r="K384" s="0"/>
      <c r="L384" s="0"/>
      <c r="U384" s="0"/>
      <c r="V384" s="0"/>
      <c r="W384" s="0"/>
      <c r="X384" s="0"/>
      <c r="Y384" s="0"/>
    </row>
    <row r="385" customFormat="false" ht="12.8" hidden="false" customHeight="false" outlineLevel="0" collapsed="false">
      <c r="G385" s="25" t="n">
        <v>44778</v>
      </c>
      <c r="H385" s="26" t="s">
        <v>10</v>
      </c>
      <c r="I385" s="5" t="n">
        <v>-50</v>
      </c>
      <c r="J385" s="54" t="s">
        <v>38</v>
      </c>
      <c r="K385" s="55"/>
      <c r="L385" s="0"/>
      <c r="U385" s="0"/>
      <c r="V385" s="0"/>
      <c r="W385" s="0"/>
      <c r="X385" s="0"/>
      <c r="Y385" s="0"/>
    </row>
    <row r="386" customFormat="false" ht="12.8" hidden="false" customHeight="false" outlineLevel="0" collapsed="false">
      <c r="G386" s="25" t="n">
        <v>44778</v>
      </c>
      <c r="H386" s="32" t="s">
        <v>15</v>
      </c>
      <c r="I386" s="5" t="n">
        <v>50</v>
      </c>
      <c r="J386" s="54" t="s">
        <v>38</v>
      </c>
      <c r="K386" s="55"/>
      <c r="L386" s="0"/>
      <c r="U386" s="0"/>
      <c r="V386" s="0"/>
      <c r="W386" s="0"/>
      <c r="X386" s="0"/>
      <c r="Y386" s="0"/>
    </row>
    <row r="387" customFormat="false" ht="12.8" hidden="false" customHeight="false" outlineLevel="0" collapsed="false">
      <c r="G387" s="25" t="n">
        <v>44778</v>
      </c>
      <c r="H387" s="32" t="s">
        <v>15</v>
      </c>
      <c r="I387" s="5" t="n">
        <f aca="false">-47.76-6.89</f>
        <v>-54.65</v>
      </c>
      <c r="J387" s="54" t="s">
        <v>37</v>
      </c>
      <c r="K387" s="0"/>
      <c r="L387" s="0"/>
      <c r="U387" s="0"/>
      <c r="V387" s="0"/>
      <c r="W387" s="0"/>
      <c r="X387" s="0"/>
      <c r="Y387" s="0"/>
    </row>
    <row r="388" customFormat="false" ht="12.8" hidden="false" customHeight="false" outlineLevel="0" collapsed="false">
      <c r="G388" s="25" t="n">
        <v>44778</v>
      </c>
      <c r="H388" s="26" t="s">
        <v>10</v>
      </c>
      <c r="I388" s="5" t="n">
        <v>-30</v>
      </c>
      <c r="J388" s="54" t="s">
        <v>38</v>
      </c>
      <c r="K388" s="0"/>
      <c r="L388" s="0"/>
      <c r="U388" s="0"/>
      <c r="V388" s="0"/>
      <c r="W388" s="0"/>
      <c r="X388" s="0"/>
      <c r="Y388" s="0"/>
    </row>
    <row r="389" customFormat="false" ht="12.8" hidden="false" customHeight="false" outlineLevel="0" collapsed="false">
      <c r="G389" s="25" t="n">
        <v>44778</v>
      </c>
      <c r="H389" s="32" t="s">
        <v>15</v>
      </c>
      <c r="I389" s="5" t="n">
        <v>30</v>
      </c>
      <c r="J389" s="54" t="s">
        <v>38</v>
      </c>
      <c r="K389" s="0"/>
      <c r="L389" s="0"/>
      <c r="U389" s="0"/>
      <c r="V389" s="0"/>
      <c r="W389" s="0"/>
      <c r="X389" s="0"/>
      <c r="Y389" s="0"/>
    </row>
    <row r="390" customFormat="false" ht="12.8" hidden="false" customHeight="false" outlineLevel="0" collapsed="false">
      <c r="G390" s="25" t="n">
        <v>44778</v>
      </c>
      <c r="H390" s="32" t="s">
        <v>15</v>
      </c>
      <c r="I390" s="5" t="n">
        <v>-30</v>
      </c>
      <c r="J390" s="54" t="s">
        <v>37</v>
      </c>
      <c r="K390" s="0"/>
      <c r="L390" s="0"/>
      <c r="U390" s="0"/>
      <c r="V390" s="0"/>
      <c r="W390" s="0"/>
      <c r="X390" s="0"/>
      <c r="Y390" s="0"/>
    </row>
    <row r="391" customFormat="false" ht="12.8" hidden="false" customHeight="false" outlineLevel="0" collapsed="false">
      <c r="G391" s="25" t="n">
        <v>44779</v>
      </c>
      <c r="H391" s="26" t="s">
        <v>10</v>
      </c>
      <c r="I391" s="5" t="n">
        <v>-60</v>
      </c>
      <c r="J391" s="54" t="s">
        <v>38</v>
      </c>
      <c r="K391" s="5"/>
      <c r="L391" s="0"/>
      <c r="U391" s="0"/>
      <c r="V391" s="0"/>
      <c r="W391" s="0"/>
      <c r="X391" s="0"/>
      <c r="Y391" s="0"/>
    </row>
    <row r="392" customFormat="false" ht="12.8" hidden="false" customHeight="false" outlineLevel="0" collapsed="false">
      <c r="G392" s="25" t="n">
        <v>44779</v>
      </c>
      <c r="H392" s="32" t="s">
        <v>15</v>
      </c>
      <c r="I392" s="5" t="n">
        <v>60</v>
      </c>
      <c r="J392" s="54" t="s">
        <v>38</v>
      </c>
      <c r="K392" s="5"/>
      <c r="L392" s="0"/>
      <c r="U392" s="0"/>
      <c r="V392" s="0"/>
      <c r="W392" s="0"/>
      <c r="X392" s="0"/>
      <c r="Y392" s="0"/>
    </row>
    <row r="393" customFormat="false" ht="12.8" hidden="false" customHeight="false" outlineLevel="0" collapsed="false">
      <c r="G393" s="25" t="n">
        <v>44779</v>
      </c>
      <c r="H393" s="32" t="s">
        <v>15</v>
      </c>
      <c r="I393" s="5" t="n">
        <v>-51.84</v>
      </c>
      <c r="J393" s="54" t="s">
        <v>37</v>
      </c>
      <c r="K393" s="0"/>
      <c r="L393" s="0"/>
      <c r="U393" s="0"/>
      <c r="V393" s="0"/>
      <c r="W393" s="0"/>
      <c r="X393" s="0"/>
      <c r="Y393" s="0"/>
    </row>
    <row r="394" customFormat="false" ht="12.8" hidden="false" customHeight="false" outlineLevel="0" collapsed="false">
      <c r="G394" s="25" t="n">
        <v>44779</v>
      </c>
      <c r="H394" s="26" t="s">
        <v>10</v>
      </c>
      <c r="I394" s="5" t="n">
        <v>-42</v>
      </c>
      <c r="J394" s="54" t="s">
        <v>38</v>
      </c>
      <c r="K394" s="0"/>
      <c r="L394" s="0"/>
      <c r="U394" s="0"/>
      <c r="V394" s="0"/>
      <c r="W394" s="0"/>
      <c r="X394" s="0"/>
      <c r="Y394" s="0"/>
    </row>
    <row r="395" customFormat="false" ht="12.8" hidden="false" customHeight="false" outlineLevel="0" collapsed="false">
      <c r="G395" s="25" t="n">
        <v>44779</v>
      </c>
      <c r="H395" s="32" t="s">
        <v>15</v>
      </c>
      <c r="I395" s="5" t="n">
        <v>42</v>
      </c>
      <c r="J395" s="54" t="s">
        <v>38</v>
      </c>
      <c r="K395" s="0"/>
      <c r="L395" s="0"/>
      <c r="U395" s="0"/>
      <c r="V395" s="0"/>
      <c r="W395" s="0"/>
      <c r="X395" s="0"/>
      <c r="Y395" s="0"/>
    </row>
    <row r="396" customFormat="false" ht="12.8" hidden="false" customHeight="false" outlineLevel="0" collapsed="false">
      <c r="G396" s="25" t="n">
        <v>44779</v>
      </c>
      <c r="H396" s="32" t="s">
        <v>15</v>
      </c>
      <c r="I396" s="5" t="n">
        <v>-46.73</v>
      </c>
      <c r="J396" s="54" t="s">
        <v>37</v>
      </c>
      <c r="K396" s="0"/>
      <c r="L396" s="0"/>
      <c r="U396" s="0"/>
      <c r="V396" s="0"/>
      <c r="W396" s="0"/>
      <c r="X396" s="0"/>
      <c r="Y396" s="0"/>
    </row>
    <row r="397" customFormat="false" ht="12.8" hidden="false" customHeight="false" outlineLevel="0" collapsed="false">
      <c r="G397" s="25" t="n">
        <v>44780</v>
      </c>
      <c r="H397" s="26" t="s">
        <v>10</v>
      </c>
      <c r="I397" s="5" t="n">
        <v>-60</v>
      </c>
      <c r="J397" s="54" t="s">
        <v>38</v>
      </c>
      <c r="K397" s="5"/>
      <c r="L397" s="0"/>
      <c r="U397" s="0"/>
      <c r="V397" s="0"/>
      <c r="W397" s="0"/>
      <c r="X397" s="0"/>
      <c r="Y397" s="0"/>
    </row>
    <row r="398" customFormat="false" ht="12.8" hidden="false" customHeight="false" outlineLevel="0" collapsed="false">
      <c r="G398" s="25" t="n">
        <v>44780</v>
      </c>
      <c r="H398" s="32" t="s">
        <v>15</v>
      </c>
      <c r="I398" s="5" t="n">
        <v>60</v>
      </c>
      <c r="J398" s="54" t="s">
        <v>38</v>
      </c>
      <c r="K398" s="5"/>
      <c r="L398" s="0"/>
      <c r="U398" s="0"/>
      <c r="V398" s="0"/>
      <c r="W398" s="0"/>
      <c r="X398" s="0"/>
      <c r="Y398" s="0"/>
    </row>
    <row r="399" customFormat="false" ht="12.8" hidden="false" customHeight="false" outlineLevel="0" collapsed="false">
      <c r="G399" s="25" t="n">
        <v>44780</v>
      </c>
      <c r="H399" s="32" t="s">
        <v>15</v>
      </c>
      <c r="I399" s="5" t="n">
        <v>-56.7</v>
      </c>
      <c r="J399" s="54" t="s">
        <v>37</v>
      </c>
      <c r="K399" s="0"/>
      <c r="L399" s="0"/>
      <c r="U399" s="0"/>
      <c r="V399" s="0"/>
      <c r="W399" s="0"/>
      <c r="X399" s="0"/>
      <c r="Y399" s="0"/>
    </row>
    <row r="400" customFormat="false" ht="12.8" hidden="false" customHeight="false" outlineLevel="0" collapsed="false">
      <c r="G400" s="25" t="n">
        <v>44780</v>
      </c>
      <c r="H400" s="26" t="s">
        <v>10</v>
      </c>
      <c r="I400" s="5" t="n">
        <v>-46</v>
      </c>
      <c r="J400" s="54" t="s">
        <v>38</v>
      </c>
      <c r="U400" s="0"/>
      <c r="V400" s="0"/>
      <c r="W400" s="0"/>
      <c r="X400" s="0"/>
      <c r="Y400" s="0"/>
    </row>
    <row r="401" customFormat="false" ht="12.8" hidden="false" customHeight="false" outlineLevel="0" collapsed="false">
      <c r="G401" s="25" t="n">
        <v>44780</v>
      </c>
      <c r="H401" s="32" t="s">
        <v>15</v>
      </c>
      <c r="I401" s="5" t="n">
        <v>46</v>
      </c>
      <c r="J401" s="54" t="s">
        <v>38</v>
      </c>
      <c r="K401" s="0"/>
      <c r="L401" s="0"/>
      <c r="U401" s="0"/>
      <c r="V401" s="0"/>
      <c r="W401" s="0"/>
      <c r="X401" s="0"/>
      <c r="Y401" s="0"/>
    </row>
    <row r="402" customFormat="false" ht="12.8" hidden="false" customHeight="false" outlineLevel="0" collapsed="false">
      <c r="G402" s="25" t="n">
        <v>44780</v>
      </c>
      <c r="H402" s="32" t="s">
        <v>15</v>
      </c>
      <c r="I402" s="5" t="n">
        <v>-48.67</v>
      </c>
      <c r="J402" s="54" t="s">
        <v>37</v>
      </c>
      <c r="K402" s="0"/>
      <c r="L402" s="0"/>
      <c r="U402" s="0"/>
      <c r="V402" s="0"/>
      <c r="W402" s="0"/>
      <c r="X402" s="0"/>
      <c r="Y402" s="0"/>
    </row>
    <row r="403" customFormat="false" ht="12.8" hidden="false" customHeight="false" outlineLevel="0" collapsed="false">
      <c r="G403" s="25" t="n">
        <v>44781</v>
      </c>
      <c r="H403" s="26" t="s">
        <v>10</v>
      </c>
      <c r="I403" s="5" t="n">
        <v>-55</v>
      </c>
      <c r="J403" s="54" t="s">
        <v>38</v>
      </c>
      <c r="K403" s="0"/>
      <c r="L403" s="0"/>
      <c r="U403" s="0"/>
      <c r="V403" s="0"/>
      <c r="W403" s="0"/>
      <c r="X403" s="0"/>
      <c r="Y403" s="0"/>
    </row>
    <row r="404" customFormat="false" ht="12.8" hidden="false" customHeight="false" outlineLevel="0" collapsed="false">
      <c r="G404" s="25" t="n">
        <v>44781</v>
      </c>
      <c r="H404" s="32" t="s">
        <v>15</v>
      </c>
      <c r="I404" s="5" t="n">
        <v>55</v>
      </c>
      <c r="J404" s="54" t="s">
        <v>38</v>
      </c>
      <c r="K404" s="0"/>
      <c r="L404" s="0"/>
      <c r="U404" s="0"/>
      <c r="V404" s="0"/>
      <c r="W404" s="0"/>
      <c r="X404" s="0"/>
      <c r="Y404" s="0"/>
    </row>
    <row r="405" customFormat="false" ht="12.8" hidden="false" customHeight="false" outlineLevel="0" collapsed="false">
      <c r="G405" s="25" t="n">
        <v>44781</v>
      </c>
      <c r="H405" s="32" t="s">
        <v>15</v>
      </c>
      <c r="I405" s="5" t="n">
        <v>-53.57</v>
      </c>
      <c r="J405" s="54" t="s">
        <v>37</v>
      </c>
      <c r="K405" s="0"/>
      <c r="L405" s="0"/>
      <c r="U405" s="0"/>
      <c r="V405" s="0"/>
      <c r="W405" s="0"/>
      <c r="X405" s="0"/>
      <c r="Y405" s="0"/>
    </row>
    <row r="406" customFormat="false" ht="12.8" hidden="false" customHeight="false" outlineLevel="0" collapsed="false">
      <c r="G406" s="25" t="n">
        <v>44781</v>
      </c>
      <c r="H406" s="26" t="s">
        <v>10</v>
      </c>
      <c r="I406" s="5" t="n">
        <f aca="false">-30-5</f>
        <v>-35</v>
      </c>
      <c r="J406" s="54" t="s">
        <v>38</v>
      </c>
      <c r="K406" s="0"/>
      <c r="L406" s="0"/>
      <c r="U406" s="0"/>
      <c r="V406" s="0"/>
      <c r="W406" s="0"/>
      <c r="X406" s="0"/>
      <c r="Y406" s="0"/>
    </row>
    <row r="407" customFormat="false" ht="12.8" hidden="false" customHeight="false" outlineLevel="0" collapsed="false">
      <c r="G407" s="25" t="n">
        <v>44781</v>
      </c>
      <c r="H407" s="32" t="s">
        <v>15</v>
      </c>
      <c r="I407" s="5" t="n">
        <f aca="false">30+5</f>
        <v>35</v>
      </c>
      <c r="J407" s="54" t="s">
        <v>38</v>
      </c>
      <c r="K407" s="0"/>
      <c r="L407" s="0"/>
      <c r="U407" s="0"/>
      <c r="V407" s="0"/>
      <c r="W407" s="0"/>
      <c r="X407" s="0"/>
      <c r="Y407" s="0"/>
    </row>
    <row r="408" customFormat="false" ht="12.8" hidden="false" customHeight="false" outlineLevel="0" collapsed="false">
      <c r="G408" s="25" t="n">
        <v>44781</v>
      </c>
      <c r="H408" s="32" t="s">
        <v>15</v>
      </c>
      <c r="I408" s="5" t="n">
        <v>-36.68</v>
      </c>
      <c r="J408" s="54" t="s">
        <v>37</v>
      </c>
      <c r="K408" s="0"/>
      <c r="L408" s="0"/>
      <c r="U408" s="0"/>
      <c r="V408" s="0"/>
      <c r="W408" s="0"/>
      <c r="X408" s="0"/>
      <c r="Y408" s="0"/>
    </row>
    <row r="409" customFormat="false" ht="12.8" hidden="false" customHeight="false" outlineLevel="0" collapsed="false">
      <c r="G409" s="25" t="n">
        <v>44782</v>
      </c>
      <c r="H409" s="26" t="s">
        <v>10</v>
      </c>
      <c r="I409" s="5" t="n">
        <v>-60</v>
      </c>
      <c r="J409" s="54" t="s">
        <v>38</v>
      </c>
      <c r="K409" s="5"/>
      <c r="L409" s="0"/>
      <c r="U409" s="0"/>
      <c r="V409" s="0"/>
      <c r="W409" s="0"/>
      <c r="X409" s="0"/>
      <c r="Y409" s="0"/>
    </row>
    <row r="410" customFormat="false" ht="12.8" hidden="false" customHeight="false" outlineLevel="0" collapsed="false">
      <c r="G410" s="25" t="n">
        <v>44782</v>
      </c>
      <c r="H410" s="32" t="s">
        <v>15</v>
      </c>
      <c r="I410" s="5" t="n">
        <v>60</v>
      </c>
      <c r="J410" s="54" t="s">
        <v>38</v>
      </c>
      <c r="K410" s="5"/>
      <c r="L410" s="0"/>
      <c r="U410" s="0"/>
      <c r="V410" s="0"/>
      <c r="W410" s="0"/>
      <c r="X410" s="0"/>
      <c r="Y410" s="0"/>
    </row>
    <row r="411" customFormat="false" ht="12.8" hidden="false" customHeight="false" outlineLevel="0" collapsed="false">
      <c r="G411" s="25" t="n">
        <v>44782</v>
      </c>
      <c r="H411" s="32" t="s">
        <v>15</v>
      </c>
      <c r="I411" s="5" t="n">
        <v>-53.07</v>
      </c>
      <c r="J411" s="54" t="s">
        <v>37</v>
      </c>
      <c r="K411" s="0"/>
      <c r="L411" s="0"/>
      <c r="U411" s="0"/>
      <c r="V411" s="0"/>
      <c r="W411" s="0"/>
      <c r="X411" s="0"/>
      <c r="Y411" s="0"/>
    </row>
    <row r="412" customFormat="false" ht="12.8" hidden="false" customHeight="false" outlineLevel="0" collapsed="false">
      <c r="G412" s="25" t="n">
        <v>44782</v>
      </c>
      <c r="H412" s="26" t="s">
        <v>10</v>
      </c>
      <c r="I412" s="5" t="n">
        <v>-35</v>
      </c>
      <c r="J412" s="54" t="s">
        <v>38</v>
      </c>
      <c r="K412" s="0"/>
      <c r="L412" s="0"/>
      <c r="U412" s="0"/>
      <c r="V412" s="0"/>
      <c r="W412" s="0"/>
      <c r="X412" s="0"/>
      <c r="Y412" s="0"/>
    </row>
    <row r="413" customFormat="false" ht="12.8" hidden="false" customHeight="false" outlineLevel="0" collapsed="false">
      <c r="G413" s="25" t="n">
        <v>44782</v>
      </c>
      <c r="H413" s="32" t="s">
        <v>15</v>
      </c>
      <c r="I413" s="5" t="n">
        <v>35</v>
      </c>
      <c r="J413" s="54" t="s">
        <v>38</v>
      </c>
      <c r="K413" s="0"/>
      <c r="L413" s="0"/>
      <c r="U413" s="0"/>
      <c r="V413" s="0"/>
      <c r="W413" s="0"/>
      <c r="X413" s="0"/>
      <c r="Y413" s="0"/>
    </row>
    <row r="414" customFormat="false" ht="12.8" hidden="false" customHeight="false" outlineLevel="0" collapsed="false">
      <c r="G414" s="25" t="n">
        <v>44782</v>
      </c>
      <c r="H414" s="32" t="s">
        <v>15</v>
      </c>
      <c r="I414" s="5" t="n">
        <v>-37.67</v>
      </c>
      <c r="J414" s="54" t="s">
        <v>37</v>
      </c>
      <c r="K414" s="0"/>
      <c r="L414" s="0"/>
      <c r="U414" s="0"/>
      <c r="V414" s="0"/>
      <c r="W414" s="0"/>
      <c r="X414" s="0"/>
      <c r="Y414" s="0"/>
    </row>
    <row r="415" customFormat="false" ht="12.8" hidden="false" customHeight="false" outlineLevel="0" collapsed="false">
      <c r="G415" s="25" t="n">
        <v>44783</v>
      </c>
      <c r="H415" s="26" t="s">
        <v>10</v>
      </c>
      <c r="I415" s="5" t="n">
        <v>-50</v>
      </c>
      <c r="J415" s="54" t="s">
        <v>38</v>
      </c>
      <c r="K415" s="0"/>
      <c r="L415" s="0"/>
      <c r="U415" s="0"/>
      <c r="V415" s="0"/>
      <c r="W415" s="0"/>
      <c r="X415" s="0"/>
      <c r="Y415" s="0"/>
    </row>
    <row r="416" customFormat="false" ht="12.8" hidden="false" customHeight="false" outlineLevel="0" collapsed="false">
      <c r="G416" s="25" t="n">
        <v>44783</v>
      </c>
      <c r="H416" s="32" t="s">
        <v>15</v>
      </c>
      <c r="I416" s="5" t="n">
        <v>50</v>
      </c>
      <c r="J416" s="54" t="s">
        <v>38</v>
      </c>
      <c r="K416" s="0"/>
      <c r="L416" s="0"/>
      <c r="U416" s="0"/>
      <c r="V416" s="0"/>
      <c r="W416" s="0"/>
      <c r="X416" s="0"/>
      <c r="Y416" s="0"/>
    </row>
    <row r="417" customFormat="false" ht="12.8" hidden="false" customHeight="false" outlineLevel="0" collapsed="false">
      <c r="G417" s="25" t="n">
        <v>44783</v>
      </c>
      <c r="H417" s="32" t="s">
        <v>15</v>
      </c>
      <c r="I417" s="5" t="n">
        <v>-56.07</v>
      </c>
      <c r="J417" s="54" t="s">
        <v>37</v>
      </c>
      <c r="K417" s="0"/>
      <c r="L417" s="0"/>
      <c r="U417" s="0"/>
      <c r="V417" s="0"/>
      <c r="W417" s="0"/>
      <c r="X417" s="0"/>
      <c r="Y417" s="0"/>
    </row>
    <row r="418" customFormat="false" ht="12.8" hidden="false" customHeight="false" outlineLevel="0" collapsed="false">
      <c r="G418" s="25" t="n">
        <v>44783</v>
      </c>
      <c r="H418" s="26" t="s">
        <v>10</v>
      </c>
      <c r="I418" s="5" t="n">
        <v>-35</v>
      </c>
      <c r="J418" s="54" t="s">
        <v>38</v>
      </c>
      <c r="K418" s="0"/>
      <c r="L418" s="0"/>
      <c r="U418" s="0"/>
      <c r="V418" s="0"/>
      <c r="W418" s="0"/>
      <c r="X418" s="0"/>
      <c r="Y418" s="0"/>
    </row>
    <row r="419" customFormat="false" ht="12.8" hidden="false" customHeight="false" outlineLevel="0" collapsed="false">
      <c r="G419" s="25" t="n">
        <v>44783</v>
      </c>
      <c r="H419" s="32" t="s">
        <v>15</v>
      </c>
      <c r="I419" s="5" t="n">
        <v>35</v>
      </c>
      <c r="J419" s="54" t="s">
        <v>38</v>
      </c>
      <c r="K419" s="0"/>
      <c r="L419" s="0"/>
      <c r="U419" s="0"/>
      <c r="V419" s="0"/>
      <c r="W419" s="0"/>
      <c r="X419" s="0"/>
      <c r="Y419" s="0"/>
    </row>
    <row r="420" customFormat="false" ht="12.8" hidden="false" customHeight="false" outlineLevel="0" collapsed="false">
      <c r="G420" s="25" t="n">
        <v>44783</v>
      </c>
      <c r="H420" s="32" t="s">
        <v>15</v>
      </c>
      <c r="I420" s="5" t="n">
        <v>-32.58</v>
      </c>
      <c r="J420" s="54" t="s">
        <v>37</v>
      </c>
      <c r="K420" s="0"/>
      <c r="L420" s="0"/>
      <c r="U420" s="0"/>
      <c r="V420" s="0"/>
      <c r="W420" s="0"/>
      <c r="X420" s="0"/>
      <c r="Y420" s="0"/>
    </row>
    <row r="421" customFormat="false" ht="12.8" hidden="false" customHeight="false" outlineLevel="0" collapsed="false">
      <c r="G421" s="25" t="n">
        <v>44784</v>
      </c>
      <c r="H421" s="26" t="s">
        <v>10</v>
      </c>
      <c r="I421" s="5" t="n">
        <v>-55</v>
      </c>
      <c r="J421" s="54" t="s">
        <v>38</v>
      </c>
      <c r="K421" s="0"/>
      <c r="L421" s="0"/>
      <c r="U421" s="0"/>
      <c r="V421" s="0"/>
      <c r="W421" s="0"/>
      <c r="X421" s="0"/>
      <c r="Y421" s="0"/>
    </row>
    <row r="422" customFormat="false" ht="12.8" hidden="false" customHeight="false" outlineLevel="0" collapsed="false">
      <c r="G422" s="25" t="n">
        <v>44784</v>
      </c>
      <c r="H422" s="32" t="s">
        <v>15</v>
      </c>
      <c r="I422" s="5" t="n">
        <v>55</v>
      </c>
      <c r="J422" s="54" t="s">
        <v>38</v>
      </c>
      <c r="K422" s="0"/>
      <c r="L422" s="0"/>
      <c r="U422" s="0"/>
      <c r="V422" s="0"/>
      <c r="W422" s="0"/>
      <c r="X422" s="0"/>
      <c r="Y422" s="0"/>
    </row>
    <row r="423" customFormat="false" ht="12.8" hidden="false" customHeight="false" outlineLevel="0" collapsed="false">
      <c r="G423" s="25" t="n">
        <v>44784</v>
      </c>
      <c r="H423" s="32" t="s">
        <v>15</v>
      </c>
      <c r="I423" s="5" t="n">
        <v>-51.67</v>
      </c>
      <c r="J423" s="54" t="s">
        <v>37</v>
      </c>
      <c r="K423" s="0"/>
      <c r="L423" s="0"/>
      <c r="U423" s="0"/>
      <c r="V423" s="0"/>
      <c r="W423" s="0"/>
      <c r="X423" s="0"/>
      <c r="Y423" s="0"/>
    </row>
    <row r="424" customFormat="false" ht="12.8" hidden="false" customHeight="false" outlineLevel="0" collapsed="false">
      <c r="G424" s="25" t="n">
        <v>44784</v>
      </c>
      <c r="H424" s="26" t="s">
        <v>10</v>
      </c>
      <c r="I424" s="5" t="n">
        <v>-45</v>
      </c>
      <c r="J424" s="54" t="s">
        <v>38</v>
      </c>
      <c r="K424" s="0"/>
      <c r="L424" s="0"/>
      <c r="U424" s="0"/>
      <c r="V424" s="0"/>
      <c r="W424" s="0"/>
      <c r="X424" s="0"/>
      <c r="Y424" s="0"/>
    </row>
    <row r="425" customFormat="false" ht="12.8" hidden="false" customHeight="false" outlineLevel="0" collapsed="false">
      <c r="G425" s="25" t="n">
        <v>44784</v>
      </c>
      <c r="H425" s="32" t="s">
        <v>15</v>
      </c>
      <c r="I425" s="5" t="n">
        <v>45</v>
      </c>
      <c r="J425" s="54" t="s">
        <v>38</v>
      </c>
      <c r="K425" s="0"/>
      <c r="L425" s="0"/>
      <c r="U425" s="0"/>
      <c r="V425" s="0"/>
      <c r="W425" s="0"/>
      <c r="X425" s="0"/>
      <c r="Y425" s="0"/>
    </row>
    <row r="426" customFormat="false" ht="12.8" hidden="false" customHeight="false" outlineLevel="0" collapsed="false">
      <c r="G426" s="25" t="n">
        <v>44784</v>
      </c>
      <c r="H426" s="32" t="s">
        <v>15</v>
      </c>
      <c r="I426" s="5" t="n">
        <v>-42.09</v>
      </c>
      <c r="J426" s="54" t="s">
        <v>37</v>
      </c>
      <c r="K426" s="0"/>
      <c r="L426" s="0"/>
      <c r="U426" s="0"/>
      <c r="V426" s="0"/>
      <c r="W426" s="0"/>
      <c r="X426" s="0"/>
      <c r="Y426" s="0"/>
    </row>
    <row r="427" customFormat="false" ht="12.8" hidden="false" customHeight="false" outlineLevel="0" collapsed="false">
      <c r="G427" s="25" t="n">
        <v>44784</v>
      </c>
      <c r="H427" s="43" t="s">
        <v>23</v>
      </c>
      <c r="I427" s="5" t="n">
        <v>1524</v>
      </c>
      <c r="J427" s="10" t="s">
        <v>42</v>
      </c>
      <c r="K427" s="0"/>
      <c r="L427" s="0"/>
      <c r="U427" s="0"/>
      <c r="V427" s="0"/>
      <c r="W427" s="0"/>
      <c r="X427" s="0"/>
      <c r="Y427" s="0"/>
    </row>
    <row r="428" customFormat="false" ht="12.8" hidden="false" customHeight="false" outlineLevel="0" collapsed="false">
      <c r="G428" s="25" t="n">
        <v>44784</v>
      </c>
      <c r="H428" s="43" t="s">
        <v>23</v>
      </c>
      <c r="I428" s="5" t="n">
        <v>-5</v>
      </c>
      <c r="J428" s="10" t="s">
        <v>43</v>
      </c>
      <c r="K428" s="0"/>
      <c r="L428" s="0"/>
      <c r="U428" s="0"/>
      <c r="V428" s="0"/>
      <c r="W428" s="0"/>
      <c r="X428" s="0"/>
      <c r="Y428" s="0"/>
    </row>
    <row r="429" customFormat="false" ht="12.8" hidden="false" customHeight="false" outlineLevel="0" collapsed="false">
      <c r="G429" s="25" t="n">
        <v>44784</v>
      </c>
      <c r="H429" s="43" t="s">
        <v>23</v>
      </c>
      <c r="I429" s="5" t="n">
        <v>-126.59</v>
      </c>
      <c r="J429" s="0" t="s">
        <v>47</v>
      </c>
      <c r="K429" s="0"/>
      <c r="L429" s="0"/>
      <c r="U429" s="0"/>
      <c r="V429" s="0"/>
      <c r="W429" s="0"/>
      <c r="X429" s="0"/>
      <c r="Y429" s="0"/>
    </row>
    <row r="430" customFormat="false" ht="12.8" hidden="false" customHeight="false" outlineLevel="0" collapsed="false">
      <c r="G430" s="25" t="n">
        <v>44784</v>
      </c>
      <c r="H430" s="43" t="s">
        <v>23</v>
      </c>
      <c r="I430" s="5" t="n">
        <v>-15</v>
      </c>
      <c r="J430" s="0" t="s">
        <v>45</v>
      </c>
      <c r="K430" s="0"/>
      <c r="L430" s="0"/>
      <c r="U430" s="0"/>
      <c r="V430" s="0"/>
      <c r="W430" s="0"/>
      <c r="X430" s="0"/>
      <c r="Y430" s="0"/>
    </row>
    <row r="431" customFormat="false" ht="12.8" hidden="false" customHeight="false" outlineLevel="0" collapsed="false">
      <c r="G431" s="25" t="n">
        <v>44784</v>
      </c>
      <c r="H431" s="38" t="s">
        <v>21</v>
      </c>
      <c r="I431" s="5" t="n">
        <v>15</v>
      </c>
      <c r="J431" s="0" t="s">
        <v>45</v>
      </c>
      <c r="K431" s="0"/>
      <c r="L431" s="0"/>
      <c r="U431" s="0"/>
      <c r="V431" s="0"/>
      <c r="W431" s="0"/>
      <c r="X431" s="0"/>
      <c r="Y431" s="0"/>
    </row>
    <row r="432" customFormat="false" ht="12.8" hidden="false" customHeight="false" outlineLevel="0" collapsed="false">
      <c r="G432" s="25" t="n">
        <v>44785</v>
      </c>
      <c r="H432" s="26" t="s">
        <v>10</v>
      </c>
      <c r="I432" s="5" t="n">
        <v>-45</v>
      </c>
      <c r="J432" s="54" t="s">
        <v>38</v>
      </c>
      <c r="K432" s="0"/>
      <c r="L432" s="0"/>
      <c r="U432" s="0"/>
      <c r="V432" s="0"/>
      <c r="W432" s="0"/>
      <c r="X432" s="0"/>
      <c r="Y432" s="0"/>
    </row>
    <row r="433" customFormat="false" ht="12.8" hidden="false" customHeight="false" outlineLevel="0" collapsed="false">
      <c r="G433" s="25" t="n">
        <v>44785</v>
      </c>
      <c r="H433" s="32" t="s">
        <v>15</v>
      </c>
      <c r="I433" s="5" t="n">
        <v>45</v>
      </c>
      <c r="J433" s="54" t="s">
        <v>38</v>
      </c>
      <c r="K433" s="0"/>
      <c r="L433" s="0"/>
      <c r="U433" s="0"/>
      <c r="V433" s="0"/>
      <c r="W433" s="0"/>
      <c r="X433" s="0"/>
      <c r="Y433" s="0"/>
    </row>
    <row r="434" customFormat="false" ht="12.8" hidden="false" customHeight="false" outlineLevel="0" collapsed="false">
      <c r="G434" s="25" t="n">
        <v>44785</v>
      </c>
      <c r="H434" s="32" t="s">
        <v>15</v>
      </c>
      <c r="I434" s="5" t="n">
        <v>-51.67</v>
      </c>
      <c r="J434" s="54" t="s">
        <v>37</v>
      </c>
      <c r="K434" s="0"/>
      <c r="L434" s="0"/>
      <c r="U434" s="0"/>
      <c r="V434" s="0"/>
      <c r="W434" s="0"/>
      <c r="X434" s="0"/>
      <c r="Y434" s="0"/>
    </row>
    <row r="435" customFormat="false" ht="12.8" hidden="false" customHeight="false" outlineLevel="0" collapsed="false">
      <c r="G435" s="25" t="n">
        <v>44785</v>
      </c>
      <c r="H435" s="43" t="s">
        <v>23</v>
      </c>
      <c r="I435" s="5" t="n">
        <v>-66.28</v>
      </c>
      <c r="J435" s="0" t="s">
        <v>48</v>
      </c>
      <c r="K435" s="0"/>
      <c r="L435" s="0"/>
      <c r="U435" s="0"/>
      <c r="V435" s="0"/>
      <c r="W435" s="0"/>
      <c r="X435" s="0"/>
      <c r="Y435" s="0"/>
    </row>
    <row r="436" customFormat="false" ht="12.8" hidden="false" customHeight="false" outlineLevel="0" collapsed="false">
      <c r="G436" s="25" t="n">
        <v>44785</v>
      </c>
      <c r="H436" s="43" t="s">
        <v>23</v>
      </c>
      <c r="I436" s="5" t="n">
        <v>-24.9</v>
      </c>
      <c r="J436" s="10" t="s">
        <v>37</v>
      </c>
      <c r="K436" s="5"/>
      <c r="L436" s="0"/>
      <c r="U436" s="0"/>
      <c r="V436" s="0"/>
      <c r="W436" s="0"/>
      <c r="X436" s="0"/>
      <c r="Y436" s="0"/>
    </row>
    <row r="437" customFormat="false" ht="12.8" hidden="false" customHeight="false" outlineLevel="0" collapsed="false">
      <c r="G437" s="25" t="n">
        <v>44785</v>
      </c>
      <c r="H437" s="26" t="s">
        <v>10</v>
      </c>
      <c r="I437" s="5" t="n">
        <v>-170</v>
      </c>
      <c r="J437" s="54" t="s">
        <v>38</v>
      </c>
      <c r="K437" s="5"/>
      <c r="L437" s="0"/>
      <c r="U437" s="0"/>
      <c r="V437" s="0"/>
      <c r="W437" s="0"/>
      <c r="X437" s="0"/>
      <c r="Y437" s="0"/>
    </row>
    <row r="438" customFormat="false" ht="12.8" hidden="false" customHeight="false" outlineLevel="0" collapsed="false">
      <c r="G438" s="25" t="n">
        <v>44785</v>
      </c>
      <c r="H438" s="32" t="s">
        <v>15</v>
      </c>
      <c r="I438" s="5" t="n">
        <v>170</v>
      </c>
      <c r="J438" s="54" t="s">
        <v>38</v>
      </c>
      <c r="K438" s="5"/>
      <c r="L438" s="0"/>
      <c r="U438" s="0"/>
      <c r="V438" s="0"/>
      <c r="W438" s="0"/>
      <c r="X438" s="0"/>
      <c r="Y438" s="0"/>
    </row>
    <row r="439" customFormat="false" ht="12.8" hidden="false" customHeight="false" outlineLevel="0" collapsed="false">
      <c r="G439" s="25" t="n">
        <v>44785</v>
      </c>
      <c r="H439" s="32" t="s">
        <v>15</v>
      </c>
      <c r="I439" s="5" t="n">
        <v>-170</v>
      </c>
      <c r="J439" s="54" t="s">
        <v>38</v>
      </c>
      <c r="K439" s="5"/>
      <c r="L439" s="0"/>
      <c r="U439" s="0"/>
      <c r="V439" s="0"/>
      <c r="W439" s="0"/>
      <c r="X439" s="0"/>
      <c r="Y439" s="0"/>
    </row>
    <row r="440" customFormat="false" ht="12.8" hidden="false" customHeight="false" outlineLevel="0" collapsed="false">
      <c r="G440" s="25" t="n">
        <v>44785</v>
      </c>
      <c r="H440" s="48" t="s">
        <v>26</v>
      </c>
      <c r="I440" s="5" t="n">
        <v>170</v>
      </c>
      <c r="J440" s="0" t="s">
        <v>38</v>
      </c>
      <c r="K440" s="5"/>
      <c r="L440" s="0"/>
      <c r="U440" s="0"/>
      <c r="V440" s="0"/>
      <c r="W440" s="0"/>
      <c r="X440" s="0"/>
      <c r="Y440" s="0"/>
    </row>
    <row r="441" customFormat="false" ht="12.8" hidden="false" customHeight="false" outlineLevel="0" collapsed="false">
      <c r="G441" s="25" t="n">
        <v>44785</v>
      </c>
      <c r="H441" s="48" t="s">
        <v>26</v>
      </c>
      <c r="I441" s="5" t="n">
        <v>-170</v>
      </c>
      <c r="J441" s="0" t="s">
        <v>56</v>
      </c>
      <c r="K441" s="5"/>
      <c r="L441" s="0"/>
      <c r="U441" s="0"/>
      <c r="V441" s="0"/>
      <c r="W441" s="0"/>
      <c r="X441" s="0"/>
      <c r="Y441" s="0"/>
    </row>
    <row r="442" customFormat="false" ht="12.8" hidden="false" customHeight="false" outlineLevel="0" collapsed="false">
      <c r="G442" s="25" t="n">
        <v>44785</v>
      </c>
      <c r="H442" s="52" t="s">
        <v>14</v>
      </c>
      <c r="I442" s="5" t="n">
        <v>170</v>
      </c>
      <c r="J442" s="0" t="s">
        <v>56</v>
      </c>
      <c r="K442" s="5"/>
      <c r="L442" s="0"/>
      <c r="U442" s="0"/>
      <c r="V442" s="0"/>
      <c r="W442" s="0"/>
      <c r="X442" s="0"/>
      <c r="Y442" s="0"/>
    </row>
    <row r="443" customFormat="false" ht="12.8" hidden="false" customHeight="false" outlineLevel="0" collapsed="false">
      <c r="G443" s="25" t="n">
        <v>44785</v>
      </c>
      <c r="H443" s="43" t="s">
        <v>23</v>
      </c>
      <c r="I443" s="5" t="n">
        <v>526</v>
      </c>
      <c r="J443" s="10" t="s">
        <v>42</v>
      </c>
      <c r="K443" s="0"/>
      <c r="L443" s="0"/>
      <c r="U443" s="0"/>
      <c r="V443" s="0"/>
      <c r="W443" s="0"/>
      <c r="X443" s="0"/>
      <c r="Y443" s="0"/>
    </row>
    <row r="444" customFormat="false" ht="12.8" hidden="false" customHeight="false" outlineLevel="0" collapsed="false">
      <c r="G444" s="25" t="n">
        <v>44786</v>
      </c>
      <c r="H444" s="43" t="s">
        <v>23</v>
      </c>
      <c r="I444" s="5" t="n">
        <v>-52.66</v>
      </c>
      <c r="J444" s="10" t="s">
        <v>37</v>
      </c>
      <c r="K444" s="0"/>
      <c r="L444" s="0"/>
      <c r="U444" s="0"/>
      <c r="V444" s="0"/>
      <c r="W444" s="0"/>
      <c r="X444" s="0"/>
      <c r="Y444" s="0"/>
    </row>
    <row r="445" customFormat="false" ht="12.8" hidden="false" customHeight="false" outlineLevel="0" collapsed="false">
      <c r="G445" s="25" t="n">
        <v>44786</v>
      </c>
      <c r="H445" s="43" t="s">
        <v>23</v>
      </c>
      <c r="I445" s="5" t="n">
        <v>-50.77</v>
      </c>
      <c r="J445" s="10" t="s">
        <v>37</v>
      </c>
      <c r="K445" s="0"/>
      <c r="L445" s="0"/>
      <c r="U445" s="0"/>
      <c r="V445" s="0"/>
      <c r="W445" s="0"/>
      <c r="X445" s="0"/>
      <c r="Y445" s="0"/>
    </row>
    <row r="446" customFormat="false" ht="12.8" hidden="false" customHeight="false" outlineLevel="0" collapsed="false">
      <c r="G446" s="25" t="n">
        <v>44787</v>
      </c>
      <c r="H446" s="43" t="s">
        <v>23</v>
      </c>
      <c r="I446" s="5" t="n">
        <v>-770</v>
      </c>
      <c r="J446" s="0" t="s">
        <v>44</v>
      </c>
      <c r="K446" s="0"/>
      <c r="L446" s="0"/>
      <c r="U446" s="0"/>
      <c r="V446" s="0"/>
      <c r="W446" s="0"/>
      <c r="X446" s="0"/>
      <c r="Y446" s="0"/>
    </row>
    <row r="447" customFormat="false" ht="12.8" hidden="false" customHeight="false" outlineLevel="0" collapsed="false">
      <c r="G447" s="25" t="n">
        <v>44787</v>
      </c>
      <c r="H447" s="43" t="s">
        <v>23</v>
      </c>
      <c r="I447" s="5" t="n">
        <v>-51.17</v>
      </c>
      <c r="J447" s="10" t="s">
        <v>37</v>
      </c>
      <c r="K447" s="0"/>
      <c r="L447" s="0"/>
      <c r="U447" s="0"/>
      <c r="V447" s="0"/>
      <c r="W447" s="0"/>
      <c r="X447" s="0"/>
      <c r="Y447" s="0"/>
    </row>
    <row r="448" customFormat="false" ht="12.8" hidden="false" customHeight="false" outlineLevel="0" collapsed="false">
      <c r="G448" s="25" t="n">
        <v>44787</v>
      </c>
      <c r="H448" s="43" t="s">
        <v>23</v>
      </c>
      <c r="I448" s="5" t="n">
        <v>-24.99</v>
      </c>
      <c r="J448" s="10" t="s">
        <v>37</v>
      </c>
      <c r="K448" s="0"/>
      <c r="L448" s="0"/>
      <c r="U448" s="0"/>
      <c r="V448" s="0"/>
      <c r="W448" s="0"/>
      <c r="X448" s="0"/>
      <c r="Y448" s="0"/>
    </row>
    <row r="449" customFormat="false" ht="12.8" hidden="false" customHeight="false" outlineLevel="0" collapsed="false">
      <c r="G449" s="25" t="n">
        <v>44788</v>
      </c>
      <c r="H449" s="43" t="s">
        <v>23</v>
      </c>
      <c r="I449" s="5" t="n">
        <v>-51.79</v>
      </c>
      <c r="J449" s="10" t="s">
        <v>37</v>
      </c>
      <c r="K449" s="0"/>
      <c r="L449" s="0"/>
      <c r="U449" s="0"/>
      <c r="V449" s="0"/>
      <c r="W449" s="0"/>
      <c r="X449" s="0"/>
      <c r="Y449" s="0"/>
    </row>
    <row r="450" customFormat="false" ht="12.8" hidden="false" customHeight="false" outlineLevel="0" collapsed="false">
      <c r="G450" s="25" t="n">
        <v>44789</v>
      </c>
      <c r="H450" s="43" t="s">
        <v>23</v>
      </c>
      <c r="I450" s="5" t="n">
        <v>-66.73</v>
      </c>
      <c r="J450" s="10" t="s">
        <v>37</v>
      </c>
      <c r="K450" s="0"/>
      <c r="L450" s="0"/>
      <c r="U450" s="0"/>
      <c r="V450" s="0"/>
      <c r="W450" s="0"/>
      <c r="X450" s="0"/>
      <c r="Y450" s="0"/>
    </row>
    <row r="451" customFormat="false" ht="12.8" hidden="false" customHeight="false" outlineLevel="0" collapsed="false">
      <c r="G451" s="25" t="n">
        <v>44790</v>
      </c>
      <c r="H451" s="43" t="s">
        <v>23</v>
      </c>
      <c r="I451" s="5" t="n">
        <v>-51.67</v>
      </c>
      <c r="J451" s="10" t="s">
        <v>37</v>
      </c>
      <c r="K451" s="0"/>
      <c r="L451" s="0"/>
      <c r="U451" s="0"/>
      <c r="V451" s="0"/>
      <c r="W451" s="0"/>
      <c r="X451" s="0"/>
      <c r="Y451" s="0"/>
    </row>
    <row r="452" customFormat="false" ht="12.8" hidden="false" customHeight="false" outlineLevel="0" collapsed="false">
      <c r="G452" s="25" t="n">
        <v>44790</v>
      </c>
      <c r="H452" s="43" t="s">
        <v>23</v>
      </c>
      <c r="I452" s="5" t="n">
        <v>-43.08</v>
      </c>
      <c r="J452" s="10" t="s">
        <v>37</v>
      </c>
      <c r="K452" s="0"/>
      <c r="L452" s="0"/>
      <c r="U452" s="0"/>
      <c r="V452" s="0"/>
      <c r="W452" s="0"/>
      <c r="X452" s="0"/>
      <c r="Y452" s="0"/>
    </row>
    <row r="453" customFormat="false" ht="12.8" hidden="false" customHeight="false" outlineLevel="0" collapsed="false">
      <c r="G453" s="25" t="n">
        <v>44791</v>
      </c>
      <c r="H453" s="43" t="s">
        <v>23</v>
      </c>
      <c r="I453" s="5" t="n">
        <v>-52.24</v>
      </c>
      <c r="J453" s="10" t="s">
        <v>37</v>
      </c>
      <c r="K453" s="0"/>
      <c r="L453" s="0"/>
      <c r="U453" s="0"/>
      <c r="V453" s="0"/>
      <c r="W453" s="0"/>
      <c r="X453" s="0"/>
      <c r="Y453" s="0"/>
    </row>
    <row r="454" customFormat="false" ht="12.8" hidden="false" customHeight="false" outlineLevel="0" collapsed="false">
      <c r="G454" s="25" t="n">
        <v>44791</v>
      </c>
      <c r="H454" s="43" t="s">
        <v>23</v>
      </c>
      <c r="I454" s="5" t="n">
        <v>-24.99</v>
      </c>
      <c r="J454" s="10" t="s">
        <v>37</v>
      </c>
      <c r="K454" s="0"/>
      <c r="L454" s="0"/>
      <c r="U454" s="0"/>
      <c r="V454" s="0"/>
      <c r="W454" s="0"/>
      <c r="X454" s="0"/>
      <c r="Y454" s="0"/>
    </row>
    <row r="455" customFormat="false" ht="12.8" hidden="false" customHeight="false" outlineLevel="0" collapsed="false">
      <c r="G455" s="25" t="n">
        <v>44791</v>
      </c>
      <c r="H455" s="43" t="s">
        <v>23</v>
      </c>
      <c r="I455" s="5" t="n">
        <v>-30</v>
      </c>
      <c r="J455" s="10" t="s">
        <v>46</v>
      </c>
      <c r="K455" s="0"/>
      <c r="L455" s="0"/>
      <c r="U455" s="0"/>
      <c r="V455" s="0"/>
      <c r="W455" s="0"/>
      <c r="X455" s="0"/>
      <c r="Y455" s="0"/>
    </row>
    <row r="456" customFormat="false" ht="12.8" hidden="false" customHeight="false" outlineLevel="0" collapsed="false">
      <c r="G456" s="25" t="n">
        <v>44792</v>
      </c>
      <c r="H456" s="43" t="s">
        <v>23</v>
      </c>
      <c r="I456" s="5" t="n">
        <v>-51.67</v>
      </c>
      <c r="J456" s="10" t="s">
        <v>37</v>
      </c>
      <c r="K456" s="0"/>
      <c r="L456" s="0"/>
      <c r="U456" s="0"/>
      <c r="V456" s="0"/>
      <c r="W456" s="0"/>
      <c r="X456" s="0"/>
      <c r="Y456" s="0"/>
    </row>
    <row r="457" customFormat="false" ht="12.8" hidden="false" customHeight="false" outlineLevel="0" collapsed="false">
      <c r="G457" s="25" t="n">
        <v>44792</v>
      </c>
      <c r="H457" s="43" t="s">
        <v>23</v>
      </c>
      <c r="I457" s="5" t="n">
        <v>-58.97</v>
      </c>
      <c r="J457" s="10" t="s">
        <v>37</v>
      </c>
      <c r="K457" s="0"/>
      <c r="L457" s="0"/>
      <c r="U457" s="0"/>
      <c r="V457" s="0"/>
      <c r="W457" s="0"/>
      <c r="X457" s="0"/>
      <c r="Y457" s="0"/>
    </row>
    <row r="458" customFormat="false" ht="12.8" hidden="false" customHeight="false" outlineLevel="0" collapsed="false">
      <c r="G458" s="25" t="n">
        <v>44792</v>
      </c>
      <c r="H458" s="43" t="s">
        <v>23</v>
      </c>
      <c r="I458" s="5" t="n">
        <v>-52.48</v>
      </c>
      <c r="J458" s="10" t="s">
        <v>37</v>
      </c>
      <c r="K458" s="0"/>
      <c r="L458" s="0"/>
      <c r="U458" s="0"/>
      <c r="V458" s="0"/>
      <c r="W458" s="0"/>
      <c r="X458" s="0"/>
      <c r="Y458" s="0"/>
    </row>
    <row r="459" customFormat="false" ht="12.8" hidden="false" customHeight="false" outlineLevel="0" collapsed="false">
      <c r="G459" s="25" t="n">
        <v>44792</v>
      </c>
      <c r="H459" s="43" t="s">
        <v>23</v>
      </c>
      <c r="I459" s="5" t="n">
        <v>-41.48</v>
      </c>
      <c r="J459" s="10" t="s">
        <v>37</v>
      </c>
      <c r="K459" s="0"/>
      <c r="L459" s="0"/>
      <c r="U459" s="0"/>
      <c r="V459" s="0"/>
      <c r="W459" s="0"/>
      <c r="X459" s="0"/>
      <c r="Y459" s="0"/>
    </row>
    <row r="460" customFormat="false" ht="12.8" hidden="false" customHeight="false" outlineLevel="0" collapsed="false">
      <c r="G460" s="25" t="n">
        <v>44793</v>
      </c>
      <c r="H460" s="43" t="s">
        <v>23</v>
      </c>
      <c r="I460" s="5" t="n">
        <v>-53.66</v>
      </c>
      <c r="J460" s="10" t="s">
        <v>37</v>
      </c>
      <c r="K460" s="0"/>
      <c r="L460" s="0"/>
      <c r="U460" s="0"/>
      <c r="V460" s="0"/>
      <c r="W460" s="0"/>
      <c r="X460" s="0"/>
      <c r="Y460" s="0"/>
    </row>
    <row r="461" customFormat="false" ht="12.8" hidden="false" customHeight="false" outlineLevel="0" collapsed="false">
      <c r="G461" s="25" t="n">
        <v>44793</v>
      </c>
      <c r="H461" s="43" t="s">
        <v>23</v>
      </c>
      <c r="I461" s="5" t="n">
        <v>-49.54</v>
      </c>
      <c r="J461" s="10" t="s">
        <v>37</v>
      </c>
      <c r="K461" s="0"/>
      <c r="L461" s="0"/>
      <c r="U461" s="0"/>
      <c r="V461" s="0"/>
      <c r="W461" s="0"/>
      <c r="X461" s="0"/>
      <c r="Y461" s="0"/>
    </row>
    <row r="462" customFormat="false" ht="12.8" hidden="false" customHeight="false" outlineLevel="0" collapsed="false">
      <c r="G462" s="25" t="n">
        <v>44794</v>
      </c>
      <c r="H462" s="43" t="s">
        <v>23</v>
      </c>
      <c r="I462" s="5" t="n">
        <v>-84.13</v>
      </c>
      <c r="J462" s="0" t="s">
        <v>53</v>
      </c>
      <c r="K462" s="0"/>
      <c r="L462" s="0"/>
      <c r="U462" s="0"/>
      <c r="V462" s="0"/>
      <c r="W462" s="0"/>
      <c r="X462" s="0"/>
      <c r="Y462" s="0"/>
    </row>
    <row r="463" customFormat="false" ht="12.8" hidden="false" customHeight="false" outlineLevel="0" collapsed="false">
      <c r="G463" s="25" t="n">
        <v>44794</v>
      </c>
      <c r="H463" s="43" t="s">
        <v>23</v>
      </c>
      <c r="I463" s="5" t="n">
        <v>-51.04</v>
      </c>
      <c r="J463" s="10" t="s">
        <v>37</v>
      </c>
      <c r="K463" s="0"/>
      <c r="L463" s="0"/>
      <c r="U463" s="0"/>
      <c r="V463" s="0"/>
      <c r="W463" s="0"/>
      <c r="X463" s="0"/>
      <c r="Y463" s="0"/>
    </row>
    <row r="464" customFormat="false" ht="12.8" hidden="false" customHeight="false" outlineLevel="0" collapsed="false">
      <c r="G464" s="25" t="n">
        <v>44794</v>
      </c>
      <c r="H464" s="43" t="s">
        <v>23</v>
      </c>
      <c r="I464" s="5" t="n">
        <v>-49.12</v>
      </c>
      <c r="J464" s="10" t="s">
        <v>37</v>
      </c>
      <c r="K464" s="0"/>
      <c r="L464" s="0"/>
      <c r="U464" s="0"/>
      <c r="V464" s="0"/>
      <c r="W464" s="0"/>
      <c r="X464" s="0"/>
      <c r="Y464" s="0"/>
    </row>
    <row r="465" customFormat="false" ht="12.8" hidden="false" customHeight="false" outlineLevel="0" collapsed="false">
      <c r="G465" s="25" t="n">
        <v>44795</v>
      </c>
      <c r="H465" s="26" t="s">
        <v>10</v>
      </c>
      <c r="I465" s="5" t="n">
        <v>-51</v>
      </c>
      <c r="J465" s="54" t="s">
        <v>38</v>
      </c>
      <c r="K465" s="55"/>
      <c r="L465" s="0"/>
      <c r="U465" s="0"/>
      <c r="V465" s="0"/>
      <c r="W465" s="0"/>
      <c r="X465" s="0"/>
      <c r="Y465" s="0"/>
    </row>
    <row r="466" customFormat="false" ht="12.8" hidden="false" customHeight="false" outlineLevel="0" collapsed="false">
      <c r="G466" s="25" t="n">
        <v>44795</v>
      </c>
      <c r="H466" s="32" t="s">
        <v>15</v>
      </c>
      <c r="I466" s="5" t="n">
        <v>51</v>
      </c>
      <c r="J466" s="54" t="s">
        <v>38</v>
      </c>
      <c r="K466" s="0"/>
      <c r="L466" s="0"/>
      <c r="U466" s="0"/>
      <c r="V466" s="0"/>
      <c r="W466" s="0"/>
      <c r="X466" s="0"/>
      <c r="Y466" s="0"/>
    </row>
    <row r="467" customFormat="false" ht="12.8" hidden="false" customHeight="false" outlineLevel="0" collapsed="false">
      <c r="G467" s="25" t="n">
        <v>44795</v>
      </c>
      <c r="H467" s="32" t="s">
        <v>15</v>
      </c>
      <c r="I467" s="5" t="n">
        <v>-52.17</v>
      </c>
      <c r="J467" s="54" t="s">
        <v>37</v>
      </c>
      <c r="K467" s="0"/>
      <c r="L467" s="0"/>
      <c r="U467" s="0"/>
      <c r="V467" s="0"/>
      <c r="W467" s="0"/>
      <c r="X467" s="0"/>
      <c r="Y467" s="0"/>
    </row>
    <row r="468" customFormat="false" ht="12.8" hidden="false" customHeight="false" outlineLevel="0" collapsed="false">
      <c r="G468" s="25" t="n">
        <v>44795</v>
      </c>
      <c r="H468" s="26" t="s">
        <v>10</v>
      </c>
      <c r="I468" s="5" t="n">
        <v>-42</v>
      </c>
      <c r="J468" s="54" t="s">
        <v>38</v>
      </c>
      <c r="K468" s="0"/>
      <c r="L468" s="0"/>
      <c r="U468" s="0"/>
      <c r="V468" s="0"/>
      <c r="W468" s="0"/>
      <c r="X468" s="0"/>
      <c r="Y468" s="0"/>
    </row>
    <row r="469" customFormat="false" ht="12.8" hidden="false" customHeight="false" outlineLevel="0" collapsed="false">
      <c r="G469" s="25" t="n">
        <v>44795</v>
      </c>
      <c r="H469" s="32" t="s">
        <v>15</v>
      </c>
      <c r="I469" s="5" t="n">
        <v>42</v>
      </c>
      <c r="J469" s="54" t="s">
        <v>38</v>
      </c>
      <c r="K469" s="0"/>
      <c r="L469" s="0"/>
      <c r="U469" s="0"/>
      <c r="V469" s="0"/>
      <c r="W469" s="0"/>
      <c r="X469" s="0"/>
      <c r="Y469" s="0"/>
    </row>
    <row r="470" customFormat="false" ht="12.8" hidden="false" customHeight="false" outlineLevel="0" collapsed="false">
      <c r="G470" s="25" t="n">
        <v>44795</v>
      </c>
      <c r="H470" s="32" t="s">
        <v>15</v>
      </c>
      <c r="I470" s="5" t="n">
        <v>-42.43</v>
      </c>
      <c r="J470" s="54" t="s">
        <v>37</v>
      </c>
      <c r="K470" s="0"/>
      <c r="L470" s="0"/>
      <c r="U470" s="0"/>
      <c r="V470" s="0"/>
      <c r="W470" s="0"/>
      <c r="X470" s="0"/>
      <c r="Y470" s="0"/>
    </row>
    <row r="471" customFormat="false" ht="12.8" hidden="false" customHeight="false" outlineLevel="0" collapsed="false">
      <c r="G471" s="25" t="n">
        <v>44796</v>
      </c>
      <c r="H471" s="26" t="s">
        <v>10</v>
      </c>
      <c r="I471" s="5" t="n">
        <v>-53</v>
      </c>
      <c r="J471" s="54" t="s">
        <v>38</v>
      </c>
      <c r="K471" s="0"/>
      <c r="L471" s="0"/>
      <c r="U471" s="0"/>
      <c r="V471" s="0"/>
      <c r="W471" s="0"/>
      <c r="X471" s="0"/>
      <c r="Y471" s="0"/>
    </row>
    <row r="472" customFormat="false" ht="12.8" hidden="false" customHeight="false" outlineLevel="0" collapsed="false">
      <c r="G472" s="25" t="n">
        <v>44796</v>
      </c>
      <c r="H472" s="32" t="s">
        <v>15</v>
      </c>
      <c r="I472" s="5" t="n">
        <v>53</v>
      </c>
      <c r="J472" s="54" t="s">
        <v>38</v>
      </c>
      <c r="K472" s="0"/>
      <c r="L472" s="0"/>
      <c r="U472" s="0"/>
      <c r="V472" s="0"/>
      <c r="W472" s="0"/>
      <c r="X472" s="0"/>
      <c r="Y472" s="0"/>
    </row>
    <row r="473" customFormat="false" ht="12.8" hidden="false" customHeight="false" outlineLevel="0" collapsed="false">
      <c r="G473" s="25" t="n">
        <v>44796</v>
      </c>
      <c r="H473" s="32" t="s">
        <v>15</v>
      </c>
      <c r="I473" s="5" t="n">
        <v>-51.49</v>
      </c>
      <c r="J473" s="54" t="s">
        <v>37</v>
      </c>
      <c r="K473" s="0"/>
      <c r="L473" s="0"/>
      <c r="U473" s="0"/>
      <c r="V473" s="0"/>
      <c r="W473" s="0"/>
      <c r="X473" s="0"/>
      <c r="Y473" s="0"/>
    </row>
    <row r="474" customFormat="false" ht="12.8" hidden="false" customHeight="false" outlineLevel="0" collapsed="false">
      <c r="G474" s="25" t="n">
        <v>44796</v>
      </c>
      <c r="H474" s="43" t="s">
        <v>23</v>
      </c>
      <c r="I474" s="5" t="n">
        <v>-49.72</v>
      </c>
      <c r="J474" s="10" t="s">
        <v>37</v>
      </c>
      <c r="K474" s="0"/>
      <c r="L474" s="0"/>
      <c r="U474" s="0"/>
      <c r="V474" s="0"/>
      <c r="W474" s="0"/>
      <c r="X474" s="0"/>
      <c r="Y474" s="0"/>
    </row>
    <row r="475" customFormat="false" ht="12.8" hidden="false" customHeight="false" outlineLevel="0" collapsed="false">
      <c r="G475" s="25" t="n">
        <v>44797</v>
      </c>
      <c r="H475" s="26" t="s">
        <v>10</v>
      </c>
      <c r="I475" s="5" t="n">
        <f aca="false">-51-20</f>
        <v>-71</v>
      </c>
      <c r="J475" s="54" t="s">
        <v>38</v>
      </c>
      <c r="K475" s="0"/>
      <c r="L475" s="0"/>
      <c r="U475" s="0"/>
      <c r="V475" s="0"/>
      <c r="W475" s="0"/>
      <c r="X475" s="0"/>
      <c r="Y475" s="0"/>
    </row>
    <row r="476" customFormat="false" ht="12.8" hidden="false" customHeight="false" outlineLevel="0" collapsed="false">
      <c r="G476" s="25" t="n">
        <v>44797</v>
      </c>
      <c r="H476" s="32" t="s">
        <v>15</v>
      </c>
      <c r="I476" s="5" t="n">
        <f aca="false">51+20</f>
        <v>71</v>
      </c>
      <c r="J476" s="54" t="s">
        <v>38</v>
      </c>
      <c r="K476" s="0"/>
      <c r="L476" s="0"/>
      <c r="U476" s="0"/>
      <c r="V476" s="0"/>
      <c r="W476" s="0"/>
      <c r="X476" s="0"/>
      <c r="Y476" s="0"/>
    </row>
    <row r="477" customFormat="false" ht="12.8" hidden="false" customHeight="false" outlineLevel="0" collapsed="false">
      <c r="G477" s="25" t="n">
        <v>44797</v>
      </c>
      <c r="H477" s="32" t="s">
        <v>15</v>
      </c>
      <c r="I477" s="5" t="n">
        <v>-73.17</v>
      </c>
      <c r="J477" s="54" t="s">
        <v>37</v>
      </c>
      <c r="K477" s="0"/>
      <c r="L477" s="0"/>
      <c r="U477" s="0"/>
      <c r="V477" s="0"/>
      <c r="W477" s="0"/>
      <c r="X477" s="0"/>
      <c r="Y477" s="0"/>
    </row>
    <row r="478" customFormat="false" ht="12.8" hidden="false" customHeight="false" outlineLevel="0" collapsed="false">
      <c r="G478" s="25" t="n">
        <v>44798</v>
      </c>
      <c r="H478" s="26" t="s">
        <v>10</v>
      </c>
      <c r="I478" s="5" t="n">
        <v>-74</v>
      </c>
      <c r="J478" s="54" t="s">
        <v>38</v>
      </c>
      <c r="K478" s="0"/>
      <c r="L478" s="0"/>
      <c r="U478" s="0"/>
      <c r="V478" s="0"/>
      <c r="W478" s="0"/>
      <c r="X478" s="0"/>
      <c r="Y478" s="0"/>
    </row>
    <row r="479" customFormat="false" ht="12.8" hidden="false" customHeight="false" outlineLevel="0" collapsed="false">
      <c r="G479" s="25" t="n">
        <v>44798</v>
      </c>
      <c r="H479" s="32" t="s">
        <v>15</v>
      </c>
      <c r="I479" s="5" t="n">
        <v>74</v>
      </c>
      <c r="J479" s="54" t="s">
        <v>38</v>
      </c>
      <c r="K479" s="0"/>
      <c r="L479" s="0"/>
      <c r="U479" s="0"/>
      <c r="V479" s="0"/>
      <c r="W479" s="0"/>
      <c r="X479" s="0"/>
      <c r="Y479" s="0"/>
    </row>
    <row r="480" customFormat="false" ht="12.8" hidden="false" customHeight="false" outlineLevel="0" collapsed="false">
      <c r="G480" s="25" t="n">
        <v>44798</v>
      </c>
      <c r="H480" s="32" t="s">
        <v>15</v>
      </c>
      <c r="I480" s="5" t="n">
        <f aca="false">-49.47-21.5</f>
        <v>-70.97</v>
      </c>
      <c r="J480" s="54" t="s">
        <v>37</v>
      </c>
      <c r="K480" s="0"/>
      <c r="L480" s="0"/>
      <c r="U480" s="0"/>
      <c r="V480" s="0"/>
      <c r="W480" s="0"/>
      <c r="X480" s="0"/>
      <c r="Y480" s="0"/>
    </row>
    <row r="481" customFormat="false" ht="12.8" hidden="false" customHeight="false" outlineLevel="0" collapsed="false">
      <c r="G481" s="25" t="n">
        <v>44798</v>
      </c>
      <c r="H481" s="26" t="s">
        <v>10</v>
      </c>
      <c r="I481" s="5" t="n">
        <v>-400</v>
      </c>
      <c r="J481" s="54" t="s">
        <v>38</v>
      </c>
      <c r="K481" s="0"/>
      <c r="L481" s="0"/>
      <c r="U481" s="0"/>
      <c r="V481" s="0"/>
      <c r="W481" s="0"/>
      <c r="X481" s="0"/>
      <c r="Y481" s="0"/>
    </row>
    <row r="482" customFormat="false" ht="12.8" hidden="false" customHeight="false" outlineLevel="0" collapsed="false">
      <c r="G482" s="25" t="n">
        <v>44798</v>
      </c>
      <c r="H482" s="32" t="s">
        <v>15</v>
      </c>
      <c r="I482" s="5" t="n">
        <v>400</v>
      </c>
      <c r="J482" s="54" t="s">
        <v>38</v>
      </c>
      <c r="K482" s="0"/>
      <c r="L482" s="0"/>
      <c r="U482" s="0"/>
      <c r="V482" s="0"/>
      <c r="W482" s="0"/>
      <c r="X482" s="0"/>
      <c r="Y482" s="0"/>
    </row>
    <row r="483" customFormat="false" ht="12.8" hidden="false" customHeight="false" outlineLevel="0" collapsed="false">
      <c r="G483" s="25" t="n">
        <v>44798</v>
      </c>
      <c r="H483" s="32" t="s">
        <v>15</v>
      </c>
      <c r="I483" s="5" t="n">
        <v>-315.9</v>
      </c>
      <c r="J483" s="54" t="s">
        <v>52</v>
      </c>
      <c r="K483" s="0"/>
      <c r="L483" s="0"/>
      <c r="U483" s="0"/>
      <c r="V483" s="0"/>
      <c r="W483" s="0"/>
      <c r="X483" s="0"/>
      <c r="Y483" s="0"/>
    </row>
    <row r="484" customFormat="false" ht="12.8" hidden="false" customHeight="false" outlineLevel="0" collapsed="false">
      <c r="G484" s="25" t="n">
        <v>44798</v>
      </c>
      <c r="H484" s="32" t="s">
        <v>15</v>
      </c>
      <c r="I484" s="5" t="n">
        <v>-89</v>
      </c>
      <c r="J484" s="54" t="s">
        <v>57</v>
      </c>
      <c r="K484" s="0"/>
      <c r="L484" s="0"/>
      <c r="U484" s="0"/>
      <c r="V484" s="0"/>
      <c r="W484" s="0"/>
      <c r="X484" s="0"/>
      <c r="Y484" s="0"/>
    </row>
    <row r="485" customFormat="false" ht="12.8" hidden="false" customHeight="false" outlineLevel="0" collapsed="false">
      <c r="G485" s="25" t="n">
        <v>44798</v>
      </c>
      <c r="H485" s="26" t="s">
        <v>10</v>
      </c>
      <c r="I485" s="5" t="n">
        <v>89</v>
      </c>
      <c r="J485" s="54" t="s">
        <v>57</v>
      </c>
      <c r="K485" s="0"/>
      <c r="L485" s="0"/>
      <c r="U485" s="0"/>
      <c r="V485" s="0"/>
      <c r="W485" s="0"/>
      <c r="X485" s="0"/>
      <c r="Y485" s="0"/>
    </row>
    <row r="486" customFormat="false" ht="12.8" hidden="false" customHeight="false" outlineLevel="0" collapsed="false">
      <c r="G486" s="25" t="n">
        <v>44799</v>
      </c>
      <c r="H486" s="26" t="s">
        <v>10</v>
      </c>
      <c r="I486" s="5" t="n">
        <v>-75</v>
      </c>
      <c r="J486" s="54" t="s">
        <v>38</v>
      </c>
      <c r="K486" s="0"/>
      <c r="L486" s="0"/>
      <c r="U486" s="0"/>
      <c r="V486" s="0"/>
      <c r="W486" s="0"/>
      <c r="X486" s="0"/>
      <c r="Y486" s="0"/>
    </row>
    <row r="487" customFormat="false" ht="12.8" hidden="false" customHeight="false" outlineLevel="0" collapsed="false">
      <c r="G487" s="25" t="n">
        <v>44799</v>
      </c>
      <c r="H487" s="32" t="s">
        <v>15</v>
      </c>
      <c r="I487" s="5" t="n">
        <v>75</v>
      </c>
      <c r="J487" s="54" t="s">
        <v>38</v>
      </c>
      <c r="K487" s="0"/>
      <c r="L487" s="0"/>
      <c r="U487" s="0"/>
      <c r="V487" s="0"/>
      <c r="W487" s="0"/>
      <c r="X487" s="0"/>
      <c r="Y487" s="0"/>
    </row>
    <row r="488" customFormat="false" ht="12.8" hidden="false" customHeight="false" outlineLevel="0" collapsed="false">
      <c r="G488" s="25" t="n">
        <v>44799</v>
      </c>
      <c r="H488" s="32" t="s">
        <v>15</v>
      </c>
      <c r="I488" s="5" t="n">
        <v>-73.25</v>
      </c>
      <c r="J488" s="54" t="s">
        <v>37</v>
      </c>
      <c r="K488" s="0"/>
      <c r="L488" s="0"/>
      <c r="U488" s="0"/>
      <c r="V488" s="0"/>
      <c r="W488" s="0"/>
      <c r="X488" s="0"/>
      <c r="Y488" s="0"/>
    </row>
    <row r="489" customFormat="false" ht="12.8" hidden="false" customHeight="false" outlineLevel="0" collapsed="false">
      <c r="G489" s="25" t="n">
        <v>44799</v>
      </c>
      <c r="H489" s="26" t="s">
        <v>10</v>
      </c>
      <c r="I489" s="5" t="n">
        <v>-63</v>
      </c>
      <c r="J489" s="54" t="s">
        <v>38</v>
      </c>
      <c r="K489" s="0"/>
      <c r="L489" s="0"/>
      <c r="U489" s="0"/>
      <c r="V489" s="0"/>
      <c r="W489" s="0"/>
      <c r="X489" s="0"/>
      <c r="Y489" s="0"/>
    </row>
    <row r="490" customFormat="false" ht="12.8" hidden="false" customHeight="false" outlineLevel="0" collapsed="false">
      <c r="G490" s="25" t="n">
        <v>44799</v>
      </c>
      <c r="H490" s="32" t="s">
        <v>15</v>
      </c>
      <c r="I490" s="5" t="n">
        <v>63</v>
      </c>
      <c r="J490" s="54" t="s">
        <v>38</v>
      </c>
      <c r="K490" s="0"/>
      <c r="L490" s="0"/>
      <c r="M490" s="0"/>
      <c r="U490" s="0"/>
      <c r="V490" s="0"/>
      <c r="W490" s="0"/>
      <c r="X490" s="0"/>
      <c r="Y490" s="0"/>
    </row>
    <row r="491" customFormat="false" ht="12.8" hidden="false" customHeight="false" outlineLevel="0" collapsed="false">
      <c r="G491" s="25" t="n">
        <v>44799</v>
      </c>
      <c r="H491" s="32" t="s">
        <v>15</v>
      </c>
      <c r="I491" s="5" t="n">
        <v>-63</v>
      </c>
      <c r="J491" s="54" t="s">
        <v>37</v>
      </c>
      <c r="K491" s="0"/>
      <c r="L491" s="0"/>
      <c r="M491" s="0"/>
      <c r="U491" s="0"/>
      <c r="V491" s="0"/>
      <c r="W491" s="0"/>
      <c r="X491" s="0"/>
      <c r="Y491" s="0"/>
    </row>
    <row r="492" customFormat="false" ht="12.8" hidden="false" customHeight="false" outlineLevel="0" collapsed="false">
      <c r="G492" s="25" t="n">
        <v>44799</v>
      </c>
      <c r="H492" s="48" t="s">
        <v>26</v>
      </c>
      <c r="I492" s="5" t="n">
        <v>63</v>
      </c>
      <c r="J492" s="10" t="s">
        <v>66</v>
      </c>
      <c r="K492" s="0"/>
      <c r="L492" s="0"/>
      <c r="M492" s="0"/>
      <c r="U492" s="0"/>
      <c r="V492" s="0"/>
      <c r="W492" s="0"/>
      <c r="X492" s="0"/>
      <c r="Y492" s="0"/>
    </row>
    <row r="493" customFormat="false" ht="12.8" hidden="false" customHeight="false" outlineLevel="0" collapsed="false">
      <c r="G493" s="25" t="n">
        <v>44800</v>
      </c>
      <c r="H493" s="26" t="s">
        <v>10</v>
      </c>
      <c r="I493" s="5" t="n">
        <v>-74</v>
      </c>
      <c r="J493" s="54" t="s">
        <v>38</v>
      </c>
      <c r="K493" s="0"/>
      <c r="L493" s="0"/>
      <c r="M493" s="0"/>
      <c r="U493" s="0"/>
      <c r="V493" s="0"/>
      <c r="W493" s="0"/>
      <c r="X493" s="0"/>
      <c r="Y493" s="0"/>
    </row>
    <row r="494" customFormat="false" ht="12.8" hidden="false" customHeight="false" outlineLevel="0" collapsed="false">
      <c r="G494" s="25" t="n">
        <v>44800</v>
      </c>
      <c r="H494" s="32" t="s">
        <v>15</v>
      </c>
      <c r="I494" s="5" t="n">
        <v>74</v>
      </c>
      <c r="J494" s="54" t="s">
        <v>38</v>
      </c>
      <c r="K494" s="5"/>
      <c r="L494" s="0"/>
      <c r="M494" s="0"/>
      <c r="U494" s="0"/>
      <c r="V494" s="0"/>
      <c r="W494" s="0"/>
      <c r="X494" s="0"/>
      <c r="Y494" s="0"/>
    </row>
    <row r="495" customFormat="false" ht="12.8" hidden="false" customHeight="false" outlineLevel="0" collapsed="false">
      <c r="G495" s="25" t="n">
        <v>44800</v>
      </c>
      <c r="H495" s="32" t="s">
        <v>15</v>
      </c>
      <c r="I495" s="5" t="n">
        <v>-73.87</v>
      </c>
      <c r="J495" s="54" t="s">
        <v>37</v>
      </c>
      <c r="K495" s="5"/>
      <c r="L495" s="0"/>
      <c r="M495" s="0"/>
      <c r="U495" s="0"/>
      <c r="V495" s="0"/>
      <c r="W495" s="0"/>
      <c r="X495" s="0"/>
      <c r="Y495" s="0"/>
    </row>
    <row r="496" customFormat="false" ht="12.8" hidden="false" customHeight="false" outlineLevel="0" collapsed="false">
      <c r="G496" s="25" t="n">
        <v>44800</v>
      </c>
      <c r="H496" s="52" t="s">
        <v>14</v>
      </c>
      <c r="I496" s="5" t="n">
        <v>0.93</v>
      </c>
      <c r="J496" s="10" t="s">
        <v>40</v>
      </c>
      <c r="K496" s="5"/>
      <c r="L496" s="0"/>
      <c r="M496" s="0"/>
      <c r="U496" s="0"/>
      <c r="V496" s="0"/>
      <c r="W496" s="0"/>
      <c r="X496" s="0"/>
      <c r="Y496" s="0"/>
    </row>
    <row r="497" customFormat="false" ht="12.8" hidden="false" customHeight="false" outlineLevel="0" collapsed="false">
      <c r="G497" s="25" t="n">
        <v>44801</v>
      </c>
      <c r="H497" s="48" t="s">
        <v>26</v>
      </c>
      <c r="I497" s="5" t="n">
        <v>-50</v>
      </c>
      <c r="J497" s="0" t="s">
        <v>71</v>
      </c>
      <c r="K497" s="5"/>
      <c r="L497" s="0"/>
      <c r="M497" s="0"/>
      <c r="U497" s="0"/>
      <c r="V497" s="0"/>
      <c r="W497" s="0"/>
      <c r="X497" s="0"/>
      <c r="Y497" s="0"/>
    </row>
    <row r="498" customFormat="false" ht="12.8" hidden="false" customHeight="false" outlineLevel="0" collapsed="false">
      <c r="G498" s="25" t="n">
        <v>44801</v>
      </c>
      <c r="H498" s="52" t="s">
        <v>14</v>
      </c>
      <c r="I498" s="5" t="n">
        <v>50</v>
      </c>
      <c r="J498" s="10" t="s">
        <v>71</v>
      </c>
      <c r="K498" s="0"/>
      <c r="L498" s="0"/>
      <c r="M498" s="0"/>
      <c r="U498" s="0"/>
      <c r="V498" s="0"/>
      <c r="W498" s="0"/>
      <c r="X498" s="0"/>
      <c r="Y498" s="0"/>
    </row>
    <row r="499" customFormat="false" ht="12.8" hidden="false" customHeight="false" outlineLevel="0" collapsed="false">
      <c r="G499" s="25" t="n">
        <v>44801</v>
      </c>
      <c r="H499" s="26" t="s">
        <v>10</v>
      </c>
      <c r="I499" s="5" t="n">
        <v>-73</v>
      </c>
      <c r="J499" s="54" t="s">
        <v>38</v>
      </c>
      <c r="K499" s="0"/>
      <c r="L499" s="0"/>
      <c r="U499" s="0"/>
      <c r="V499" s="0"/>
      <c r="W499" s="0"/>
      <c r="X499" s="0"/>
      <c r="Y499" s="0"/>
    </row>
    <row r="500" customFormat="false" ht="12.8" hidden="false" customHeight="false" outlineLevel="0" collapsed="false">
      <c r="G500" s="25" t="n">
        <v>44801</v>
      </c>
      <c r="H500" s="32" t="s">
        <v>15</v>
      </c>
      <c r="I500" s="5" t="n">
        <v>73</v>
      </c>
      <c r="J500" s="54" t="s">
        <v>38</v>
      </c>
      <c r="K500" s="0"/>
      <c r="L500" s="0"/>
      <c r="U500" s="0"/>
      <c r="V500" s="0"/>
      <c r="W500" s="0"/>
      <c r="X500" s="0"/>
      <c r="Y500" s="0"/>
    </row>
    <row r="501" customFormat="false" ht="12.8" hidden="false" customHeight="false" outlineLevel="0" collapsed="false">
      <c r="G501" s="25" t="n">
        <v>44801</v>
      </c>
      <c r="H501" s="32" t="s">
        <v>15</v>
      </c>
      <c r="I501" s="5" t="n">
        <v>-72.25</v>
      </c>
      <c r="J501" s="54" t="s">
        <v>37</v>
      </c>
      <c r="K501" s="0"/>
      <c r="L501" s="0"/>
      <c r="U501" s="0"/>
      <c r="V501" s="0"/>
      <c r="W501" s="0"/>
      <c r="X501" s="0"/>
      <c r="Y501" s="0"/>
    </row>
    <row r="502" customFormat="false" ht="12.8" hidden="false" customHeight="false" outlineLevel="0" collapsed="false">
      <c r="G502" s="25" t="n">
        <v>44802</v>
      </c>
      <c r="H502" s="26" t="s">
        <v>10</v>
      </c>
      <c r="I502" s="5" t="n">
        <v>-73</v>
      </c>
      <c r="J502" s="54" t="s">
        <v>38</v>
      </c>
      <c r="K502" s="0"/>
      <c r="L502" s="0"/>
      <c r="U502" s="0"/>
      <c r="V502" s="0"/>
      <c r="W502" s="0"/>
      <c r="X502" s="0"/>
      <c r="Y502" s="0"/>
    </row>
    <row r="503" customFormat="false" ht="12.8" hidden="false" customHeight="false" outlineLevel="0" collapsed="false">
      <c r="G503" s="25" t="n">
        <v>44802</v>
      </c>
      <c r="H503" s="32" t="s">
        <v>15</v>
      </c>
      <c r="I503" s="5" t="n">
        <v>73</v>
      </c>
      <c r="J503" s="54" t="s">
        <v>38</v>
      </c>
      <c r="K503" s="0"/>
      <c r="L503" s="0"/>
      <c r="U503" s="0"/>
      <c r="V503" s="0"/>
      <c r="W503" s="0"/>
      <c r="X503" s="0"/>
      <c r="Y503" s="0"/>
    </row>
    <row r="504" customFormat="false" ht="12.8" hidden="false" customHeight="false" outlineLevel="0" collapsed="false">
      <c r="G504" s="25" t="n">
        <v>44802</v>
      </c>
      <c r="H504" s="32" t="s">
        <v>15</v>
      </c>
      <c r="I504" s="5" t="n">
        <v>-72.37</v>
      </c>
      <c r="J504" s="54" t="s">
        <v>37</v>
      </c>
      <c r="K504" s="0"/>
      <c r="L504" s="0"/>
      <c r="U504" s="0"/>
      <c r="V504" s="0"/>
      <c r="W504" s="0"/>
      <c r="X504" s="0"/>
      <c r="Y504" s="0"/>
    </row>
    <row r="505" customFormat="false" ht="12.8" hidden="false" customHeight="false" outlineLevel="0" collapsed="false">
      <c r="G505" s="25" t="n">
        <v>44802</v>
      </c>
      <c r="H505" s="26" t="s">
        <v>10</v>
      </c>
      <c r="I505" s="5" t="n">
        <v>-30</v>
      </c>
      <c r="J505" s="54" t="s">
        <v>38</v>
      </c>
      <c r="K505" s="0"/>
      <c r="L505" s="0"/>
      <c r="U505" s="0"/>
      <c r="V505" s="0"/>
      <c r="W505" s="0"/>
      <c r="X505" s="0"/>
      <c r="Y505" s="0"/>
    </row>
    <row r="506" customFormat="false" ht="12.8" hidden="false" customHeight="false" outlineLevel="0" collapsed="false">
      <c r="G506" s="25" t="n">
        <v>44802</v>
      </c>
      <c r="H506" s="32" t="s">
        <v>15</v>
      </c>
      <c r="I506" s="5" t="n">
        <v>30</v>
      </c>
      <c r="J506" s="54" t="s">
        <v>38</v>
      </c>
      <c r="K506" s="0"/>
      <c r="L506" s="0"/>
      <c r="U506" s="0"/>
      <c r="V506" s="0"/>
      <c r="W506" s="0"/>
      <c r="X506" s="0"/>
      <c r="Y506" s="0"/>
    </row>
    <row r="507" customFormat="false" ht="12.8" hidden="false" customHeight="false" outlineLevel="0" collapsed="false">
      <c r="G507" s="25" t="n">
        <v>44802</v>
      </c>
      <c r="H507" s="32" t="s">
        <v>15</v>
      </c>
      <c r="I507" s="5" t="n">
        <v>-26.99</v>
      </c>
      <c r="J507" s="54" t="s">
        <v>37</v>
      </c>
      <c r="K507" s="0"/>
      <c r="L507" s="0"/>
      <c r="U507" s="0"/>
      <c r="V507" s="0"/>
      <c r="W507" s="0"/>
      <c r="X507" s="0"/>
      <c r="Y507" s="0"/>
    </row>
    <row r="508" customFormat="false" ht="12.8" hidden="false" customHeight="false" outlineLevel="0" collapsed="false">
      <c r="G508" s="25" t="n">
        <v>44802</v>
      </c>
      <c r="H508" s="43" t="s">
        <v>23</v>
      </c>
      <c r="I508" s="5" t="n">
        <f aca="false">250</f>
        <v>250</v>
      </c>
      <c r="J508" s="10" t="s">
        <v>72</v>
      </c>
      <c r="K508" s="0"/>
      <c r="L508" s="0"/>
      <c r="U508" s="0"/>
      <c r="V508" s="0"/>
      <c r="W508" s="0"/>
      <c r="X508" s="0"/>
      <c r="Y508" s="0"/>
    </row>
    <row r="509" customFormat="false" ht="12.8" hidden="false" customHeight="false" outlineLevel="0" collapsed="false">
      <c r="G509" s="25" t="n">
        <v>44802</v>
      </c>
      <c r="H509" s="43" t="s">
        <v>23</v>
      </c>
      <c r="I509" s="5" t="n">
        <v>-5</v>
      </c>
      <c r="J509" s="10" t="s">
        <v>43</v>
      </c>
      <c r="K509" s="0"/>
      <c r="L509" s="0"/>
      <c r="U509" s="0"/>
      <c r="V509" s="0"/>
      <c r="W509" s="0"/>
      <c r="X509" s="0"/>
      <c r="Y509" s="0"/>
    </row>
    <row r="510" customFormat="false" ht="12.8" hidden="false" customHeight="false" outlineLevel="0" collapsed="false">
      <c r="G510" s="25" t="n">
        <v>44803</v>
      </c>
      <c r="H510" s="43" t="s">
        <v>23</v>
      </c>
      <c r="I510" s="5" t="n">
        <v>-75.34</v>
      </c>
      <c r="J510" s="10" t="s">
        <v>37</v>
      </c>
      <c r="K510" s="0"/>
      <c r="L510" s="0"/>
      <c r="U510" s="0"/>
      <c r="V510" s="0"/>
      <c r="W510" s="0"/>
      <c r="X510" s="0"/>
      <c r="Y510" s="0"/>
    </row>
    <row r="511" customFormat="false" ht="12.8" hidden="false" customHeight="false" outlineLevel="0" collapsed="false">
      <c r="G511" s="25" t="n">
        <v>44804</v>
      </c>
      <c r="H511" s="43" t="s">
        <v>23</v>
      </c>
      <c r="I511" s="5" t="n">
        <v>-74.37</v>
      </c>
      <c r="J511" s="10" t="s">
        <v>37</v>
      </c>
      <c r="K511" s="0"/>
      <c r="L511" s="0"/>
      <c r="U511" s="0"/>
      <c r="V511" s="0"/>
      <c r="W511" s="0"/>
      <c r="X511" s="0"/>
      <c r="Y511" s="0"/>
    </row>
    <row r="512" customFormat="false" ht="12.8" hidden="false" customHeight="false" outlineLevel="0" collapsed="false">
      <c r="G512" s="25" t="n">
        <v>44805</v>
      </c>
      <c r="H512" s="43" t="s">
        <v>23</v>
      </c>
      <c r="I512" s="5" t="n">
        <v>-5</v>
      </c>
      <c r="J512" s="55" t="s">
        <v>82</v>
      </c>
      <c r="K512" s="0"/>
      <c r="L512" s="0"/>
      <c r="U512" s="0"/>
      <c r="V512" s="0"/>
      <c r="W512" s="0"/>
      <c r="X512" s="0"/>
      <c r="Y512" s="0"/>
    </row>
    <row r="513" customFormat="false" ht="12.8" hidden="false" customHeight="false" outlineLevel="0" collapsed="false">
      <c r="G513" s="25" t="n">
        <v>44805</v>
      </c>
      <c r="H513" s="26" t="s">
        <v>10</v>
      </c>
      <c r="I513" s="5" t="n">
        <v>1.5</v>
      </c>
      <c r="J513" s="55" t="s">
        <v>40</v>
      </c>
      <c r="K513" s="0"/>
      <c r="L513" s="0"/>
      <c r="U513" s="0"/>
      <c r="V513" s="0"/>
      <c r="W513" s="0"/>
      <c r="X513" s="0"/>
      <c r="Y513" s="0"/>
    </row>
    <row r="514" customFormat="false" ht="12.8" hidden="false" customHeight="false" outlineLevel="0" collapsed="false">
      <c r="G514" s="25" t="n">
        <v>44805</v>
      </c>
      <c r="H514" s="48" t="s">
        <v>26</v>
      </c>
      <c r="I514" s="5" t="n">
        <v>-10</v>
      </c>
      <c r="J514" s="55" t="s">
        <v>82</v>
      </c>
      <c r="K514" s="0"/>
      <c r="L514" s="0"/>
      <c r="U514" s="0"/>
      <c r="V514" s="0"/>
      <c r="W514" s="0"/>
      <c r="X514" s="0"/>
      <c r="Y514" s="0"/>
    </row>
    <row r="515" customFormat="false" ht="12.8" hidden="false" customHeight="false" outlineLevel="0" collapsed="false">
      <c r="G515" s="25" t="n">
        <v>44805</v>
      </c>
      <c r="H515" s="52" t="s">
        <v>14</v>
      </c>
      <c r="I515" s="5" t="n">
        <v>0.2</v>
      </c>
      <c r="J515" s="0" t="s">
        <v>40</v>
      </c>
      <c r="K515" s="0"/>
      <c r="L515" s="0"/>
      <c r="U515" s="0"/>
      <c r="V515" s="0"/>
      <c r="W515" s="0"/>
      <c r="X515" s="0"/>
      <c r="Y515" s="0"/>
    </row>
    <row r="516" customFormat="false" ht="12.8" hidden="false" customHeight="false" outlineLevel="0" collapsed="false">
      <c r="G516" s="25" t="n">
        <v>44805</v>
      </c>
      <c r="H516" s="52" t="s">
        <v>14</v>
      </c>
      <c r="I516" s="5" t="n">
        <v>-2000</v>
      </c>
      <c r="J516" s="10" t="s">
        <v>75</v>
      </c>
      <c r="K516" s="5"/>
      <c r="L516" s="0"/>
      <c r="U516" s="0"/>
      <c r="V516" s="0"/>
      <c r="W516" s="0"/>
      <c r="X516" s="0"/>
      <c r="Y516" s="0"/>
    </row>
    <row r="517" customFormat="false" ht="12.8" hidden="false" customHeight="false" outlineLevel="0" collapsed="false">
      <c r="G517" s="25" t="n">
        <v>44805</v>
      </c>
      <c r="H517" s="48" t="s">
        <v>26</v>
      </c>
      <c r="I517" s="5" t="n">
        <v>2000</v>
      </c>
      <c r="J517" s="10" t="s">
        <v>76</v>
      </c>
      <c r="K517" s="5"/>
      <c r="L517" s="0"/>
      <c r="U517" s="0"/>
      <c r="V517" s="0"/>
      <c r="W517" s="0"/>
      <c r="X517" s="0"/>
      <c r="Y517" s="0"/>
    </row>
    <row r="518" customFormat="false" ht="12.8" hidden="false" customHeight="false" outlineLevel="0" collapsed="false">
      <c r="G518" s="25" t="n">
        <v>44805</v>
      </c>
      <c r="H518" s="48" t="s">
        <v>26</v>
      </c>
      <c r="I518" s="5" t="n">
        <v>-2000</v>
      </c>
      <c r="J518" s="54" t="s">
        <v>77</v>
      </c>
      <c r="K518" s="5"/>
      <c r="L518" s="0"/>
      <c r="U518" s="0"/>
      <c r="V518" s="0"/>
      <c r="W518" s="0"/>
      <c r="X518" s="0"/>
      <c r="Y518" s="0"/>
    </row>
    <row r="519" customFormat="false" ht="12.8" hidden="false" customHeight="false" outlineLevel="0" collapsed="false">
      <c r="G519" s="25" t="n">
        <v>44805</v>
      </c>
      <c r="H519" s="48" t="s">
        <v>26</v>
      </c>
      <c r="I519" s="5" t="n">
        <v>-3</v>
      </c>
      <c r="J519" s="10" t="s">
        <v>78</v>
      </c>
      <c r="K519" s="5"/>
      <c r="L519" s="0"/>
      <c r="U519" s="0"/>
      <c r="V519" s="0"/>
      <c r="W519" s="0"/>
      <c r="X519" s="0"/>
      <c r="Y519" s="0"/>
    </row>
    <row r="520" customFormat="false" ht="12.8" hidden="false" customHeight="false" outlineLevel="0" collapsed="false">
      <c r="G520" s="25" t="n">
        <v>44805</v>
      </c>
      <c r="H520" s="32" t="s">
        <v>15</v>
      </c>
      <c r="I520" s="5" t="n">
        <v>2000</v>
      </c>
      <c r="J520" s="0" t="s">
        <v>38</v>
      </c>
      <c r="K520" s="5"/>
      <c r="L520" s="0"/>
      <c r="U520" s="0"/>
      <c r="V520" s="0"/>
      <c r="W520" s="0"/>
      <c r="X520" s="0"/>
      <c r="Y520" s="0"/>
    </row>
    <row r="521" customFormat="false" ht="12.8" hidden="false" customHeight="false" outlineLevel="0" collapsed="false">
      <c r="G521" s="25" t="n">
        <v>44805</v>
      </c>
      <c r="H521" s="52" t="s">
        <v>14</v>
      </c>
      <c r="I521" s="5" t="n">
        <v>-3</v>
      </c>
      <c r="J521" s="10" t="s">
        <v>66</v>
      </c>
      <c r="K521" s="0"/>
      <c r="L521" s="0"/>
      <c r="U521" s="0"/>
      <c r="V521" s="0"/>
      <c r="W521" s="0"/>
      <c r="X521" s="0"/>
      <c r="Y521" s="0"/>
    </row>
    <row r="522" customFormat="false" ht="12.8" hidden="false" customHeight="false" outlineLevel="0" collapsed="false">
      <c r="G522" s="25" t="n">
        <v>44805</v>
      </c>
      <c r="H522" s="48" t="s">
        <v>26</v>
      </c>
      <c r="I522" s="5" t="n">
        <v>3</v>
      </c>
      <c r="J522" s="10" t="s">
        <v>66</v>
      </c>
      <c r="K522" s="0"/>
      <c r="L522" s="0"/>
      <c r="U522" s="0"/>
      <c r="V522" s="0"/>
      <c r="W522" s="0"/>
      <c r="X522" s="0"/>
      <c r="Y522" s="0"/>
    </row>
    <row r="523" customFormat="false" ht="12.8" hidden="false" customHeight="false" outlineLevel="0" collapsed="false">
      <c r="G523" s="25" t="n">
        <v>44805</v>
      </c>
      <c r="H523" s="48" t="s">
        <v>26</v>
      </c>
      <c r="I523" s="5" t="n">
        <v>-2.2</v>
      </c>
      <c r="J523" s="10" t="s">
        <v>83</v>
      </c>
      <c r="K523" s="0"/>
      <c r="L523" s="0"/>
      <c r="U523" s="0"/>
      <c r="V523" s="0"/>
      <c r="W523" s="0"/>
      <c r="X523" s="0"/>
      <c r="Y523" s="0"/>
    </row>
    <row r="524" customFormat="false" ht="12.8" hidden="false" customHeight="false" outlineLevel="0" collapsed="false">
      <c r="G524" s="25" t="n">
        <v>44805</v>
      </c>
      <c r="H524" s="43" t="s">
        <v>23</v>
      </c>
      <c r="I524" s="5" t="n">
        <v>-74.5</v>
      </c>
      <c r="J524" s="10" t="s">
        <v>37</v>
      </c>
      <c r="K524" s="0"/>
      <c r="L524" s="0"/>
      <c r="U524" s="0"/>
      <c r="V524" s="0"/>
      <c r="W524" s="0"/>
      <c r="X524" s="0"/>
      <c r="Y524" s="0"/>
    </row>
    <row r="525" customFormat="false" ht="12.8" hidden="false" customHeight="false" outlineLevel="0" collapsed="false">
      <c r="G525" s="25" t="n">
        <v>44805</v>
      </c>
      <c r="H525" s="32" t="s">
        <v>15</v>
      </c>
      <c r="I525" s="5" t="n">
        <v>-2000</v>
      </c>
      <c r="J525" s="54" t="s">
        <v>57</v>
      </c>
      <c r="K525" s="0"/>
      <c r="L525" s="0"/>
      <c r="U525" s="0"/>
      <c r="V525" s="0"/>
      <c r="W525" s="0"/>
      <c r="X525" s="0"/>
      <c r="Y525" s="0"/>
    </row>
    <row r="526" customFormat="false" ht="12.8" hidden="false" customHeight="false" outlineLevel="0" collapsed="false">
      <c r="G526" s="25" t="n">
        <v>44805</v>
      </c>
      <c r="H526" s="26" t="s">
        <v>10</v>
      </c>
      <c r="I526" s="5" t="n">
        <v>2000</v>
      </c>
      <c r="J526" s="54" t="s">
        <v>57</v>
      </c>
      <c r="K526" s="0"/>
      <c r="L526" s="0"/>
      <c r="U526" s="0"/>
      <c r="V526" s="0"/>
      <c r="W526" s="0"/>
      <c r="X526" s="0"/>
      <c r="Y526" s="0"/>
    </row>
    <row r="527" customFormat="false" ht="12.8" hidden="false" customHeight="false" outlineLevel="0" collapsed="false">
      <c r="G527" s="25" t="n">
        <v>44805</v>
      </c>
      <c r="H527" s="38" t="s">
        <v>21</v>
      </c>
      <c r="I527" s="5" t="n">
        <v>-15</v>
      </c>
      <c r="J527" s="27" t="s">
        <v>64</v>
      </c>
      <c r="K527" s="0"/>
      <c r="L527" s="0"/>
      <c r="U527" s="0"/>
      <c r="V527" s="0"/>
      <c r="W527" s="0"/>
      <c r="X527" s="0"/>
      <c r="Y527" s="0"/>
    </row>
    <row r="528" customFormat="false" ht="12.8" hidden="false" customHeight="false" outlineLevel="0" collapsed="false">
      <c r="G528" s="25" t="n">
        <v>44806</v>
      </c>
      <c r="H528" s="48" t="s">
        <v>26</v>
      </c>
      <c r="I528" s="5" t="n">
        <v>-2.8</v>
      </c>
      <c r="J528" s="27" t="s">
        <v>84</v>
      </c>
      <c r="K528" s="0"/>
      <c r="L528" s="0"/>
      <c r="U528" s="0"/>
      <c r="V528" s="0"/>
      <c r="W528" s="0"/>
      <c r="X528" s="0"/>
      <c r="Y528" s="0"/>
    </row>
    <row r="529" customFormat="false" ht="12.8" hidden="false" customHeight="false" outlineLevel="0" collapsed="false">
      <c r="G529" s="25" t="n">
        <v>44806</v>
      </c>
      <c r="H529" s="26" t="s">
        <v>10</v>
      </c>
      <c r="I529" s="5" t="n">
        <v>-69.5</v>
      </c>
      <c r="J529" s="54" t="s">
        <v>38</v>
      </c>
      <c r="K529" s="5"/>
      <c r="L529" s="0"/>
      <c r="U529" s="0"/>
      <c r="V529" s="0"/>
      <c r="W529" s="0"/>
      <c r="X529" s="0"/>
      <c r="Y529" s="0"/>
    </row>
    <row r="530" customFormat="false" ht="12.8" hidden="false" customHeight="false" outlineLevel="0" collapsed="false">
      <c r="G530" s="25" t="n">
        <v>44806</v>
      </c>
      <c r="H530" s="32" t="s">
        <v>15</v>
      </c>
      <c r="I530" s="5" t="n">
        <v>69.5</v>
      </c>
      <c r="J530" s="54" t="s">
        <v>38</v>
      </c>
      <c r="K530" s="5"/>
      <c r="L530" s="0"/>
      <c r="U530" s="0"/>
      <c r="V530" s="0"/>
      <c r="W530" s="0"/>
      <c r="X530" s="0"/>
      <c r="Y530" s="0"/>
    </row>
    <row r="531" customFormat="false" ht="12.8" hidden="false" customHeight="false" outlineLevel="0" collapsed="false">
      <c r="G531" s="25" t="n">
        <v>44806</v>
      </c>
      <c r="H531" s="32" t="s">
        <v>15</v>
      </c>
      <c r="I531" s="5" t="n">
        <v>-55.11</v>
      </c>
      <c r="J531" s="54" t="s">
        <v>37</v>
      </c>
      <c r="K531" s="0"/>
      <c r="L531" s="0"/>
      <c r="U531" s="0"/>
      <c r="V531" s="0"/>
      <c r="W531" s="0"/>
      <c r="X531" s="0"/>
      <c r="Y531" s="0"/>
    </row>
    <row r="532" customFormat="false" ht="12.8" hidden="false" customHeight="false" outlineLevel="0" collapsed="false">
      <c r="G532" s="25" t="n">
        <v>44806</v>
      </c>
      <c r="H532" s="26" t="s">
        <v>10</v>
      </c>
      <c r="I532" s="5" t="n">
        <v>-32</v>
      </c>
      <c r="J532" s="54" t="s">
        <v>38</v>
      </c>
      <c r="K532" s="5"/>
      <c r="L532" s="0"/>
      <c r="U532" s="0"/>
      <c r="V532" s="0"/>
      <c r="W532" s="0"/>
      <c r="X532" s="0"/>
      <c r="Y532" s="0"/>
    </row>
    <row r="533" customFormat="false" ht="12.8" hidden="false" customHeight="false" outlineLevel="0" collapsed="false">
      <c r="G533" s="25" t="n">
        <v>44806</v>
      </c>
      <c r="H533" s="32" t="s">
        <v>15</v>
      </c>
      <c r="I533" s="5" t="n">
        <v>32</v>
      </c>
      <c r="J533" s="54" t="s">
        <v>38</v>
      </c>
      <c r="K533" s="0"/>
      <c r="L533" s="0"/>
      <c r="U533" s="0"/>
      <c r="V533" s="0"/>
      <c r="W533" s="0"/>
      <c r="X533" s="0"/>
      <c r="Y533" s="0"/>
    </row>
    <row r="534" customFormat="false" ht="12.8" hidden="false" customHeight="false" outlineLevel="0" collapsed="false">
      <c r="G534" s="25" t="n">
        <v>44806</v>
      </c>
      <c r="H534" s="32" t="s">
        <v>15</v>
      </c>
      <c r="I534" s="5" t="n">
        <v>-47.16</v>
      </c>
      <c r="J534" s="54" t="s">
        <v>37</v>
      </c>
      <c r="K534" s="0"/>
      <c r="L534" s="0"/>
      <c r="U534" s="0"/>
      <c r="V534" s="0"/>
      <c r="W534" s="0"/>
      <c r="X534" s="0"/>
      <c r="Y534" s="0"/>
    </row>
    <row r="535" customFormat="false" ht="12.8" hidden="false" customHeight="false" outlineLevel="0" collapsed="false">
      <c r="G535" s="25" t="n">
        <v>44807</v>
      </c>
      <c r="H535" s="26" t="s">
        <v>10</v>
      </c>
      <c r="I535" s="5" t="n">
        <v>-70</v>
      </c>
      <c r="J535" s="54" t="s">
        <v>38</v>
      </c>
      <c r="K535" s="0"/>
      <c r="L535" s="0"/>
      <c r="U535" s="0"/>
      <c r="V535" s="0"/>
      <c r="W535" s="0"/>
      <c r="X535" s="0"/>
      <c r="Y535" s="0"/>
    </row>
    <row r="536" customFormat="false" ht="12.8" hidden="false" customHeight="false" outlineLevel="0" collapsed="false">
      <c r="G536" s="25" t="n">
        <v>44807</v>
      </c>
      <c r="H536" s="32" t="s">
        <v>15</v>
      </c>
      <c r="I536" s="5" t="n">
        <v>70</v>
      </c>
      <c r="J536" s="54" t="s">
        <v>38</v>
      </c>
      <c r="K536" s="0"/>
      <c r="L536" s="0"/>
      <c r="U536" s="0"/>
      <c r="V536" s="0"/>
      <c r="W536" s="0"/>
      <c r="X536" s="0"/>
      <c r="Y536" s="0"/>
    </row>
    <row r="537" customFormat="false" ht="12.8" hidden="false" customHeight="false" outlineLevel="0" collapsed="false">
      <c r="G537" s="25" t="n">
        <v>44807</v>
      </c>
      <c r="H537" s="32" t="s">
        <v>15</v>
      </c>
      <c r="I537" s="5" t="n">
        <v>-72.87</v>
      </c>
      <c r="J537" s="54" t="s">
        <v>37</v>
      </c>
      <c r="K537" s="0"/>
      <c r="L537" s="0"/>
      <c r="U537" s="0"/>
      <c r="V537" s="0"/>
      <c r="W537" s="0"/>
      <c r="X537" s="0"/>
      <c r="Y537" s="0"/>
    </row>
    <row r="538" customFormat="false" ht="12.8" hidden="false" customHeight="false" outlineLevel="0" collapsed="false">
      <c r="G538" s="25" t="n">
        <v>44808</v>
      </c>
      <c r="H538" s="26" t="s">
        <v>10</v>
      </c>
      <c r="I538" s="5" t="n">
        <v>-73</v>
      </c>
      <c r="J538" s="54" t="s">
        <v>38</v>
      </c>
      <c r="K538" s="0"/>
      <c r="L538" s="0"/>
      <c r="U538" s="0"/>
      <c r="V538" s="0"/>
      <c r="W538" s="0"/>
      <c r="X538" s="0"/>
      <c r="Y538" s="0"/>
    </row>
    <row r="539" customFormat="false" ht="12.8" hidden="false" customHeight="false" outlineLevel="0" collapsed="false">
      <c r="G539" s="25" t="n">
        <v>44808</v>
      </c>
      <c r="H539" s="32" t="s">
        <v>15</v>
      </c>
      <c r="I539" s="5" t="n">
        <v>73</v>
      </c>
      <c r="J539" s="54" t="s">
        <v>38</v>
      </c>
      <c r="K539" s="0"/>
      <c r="L539" s="0"/>
      <c r="U539" s="0"/>
      <c r="V539" s="0"/>
      <c r="W539" s="0"/>
      <c r="X539" s="0"/>
      <c r="Y539" s="0"/>
    </row>
    <row r="540" customFormat="false" ht="12.8" hidden="false" customHeight="false" outlineLevel="0" collapsed="false">
      <c r="G540" s="25" t="n">
        <v>44808</v>
      </c>
      <c r="H540" s="32" t="s">
        <v>15</v>
      </c>
      <c r="I540" s="5" t="n">
        <v>-72.87</v>
      </c>
      <c r="J540" s="54" t="s">
        <v>37</v>
      </c>
      <c r="K540" s="0"/>
      <c r="L540" s="0"/>
      <c r="U540" s="0"/>
      <c r="V540" s="0"/>
      <c r="W540" s="0"/>
      <c r="X540" s="0"/>
      <c r="Y540" s="0"/>
    </row>
    <row r="541" customFormat="false" ht="12.8" hidden="false" customHeight="false" outlineLevel="0" collapsed="false">
      <c r="G541" s="25" t="n">
        <v>44809</v>
      </c>
      <c r="H541" s="26" t="s">
        <v>10</v>
      </c>
      <c r="I541" s="5" t="n">
        <v>-73</v>
      </c>
      <c r="J541" s="54" t="s">
        <v>38</v>
      </c>
      <c r="K541" s="0"/>
      <c r="L541" s="0"/>
      <c r="U541" s="0"/>
      <c r="V541" s="0"/>
      <c r="W541" s="0"/>
      <c r="X541" s="0"/>
      <c r="Y541" s="0"/>
    </row>
    <row r="542" customFormat="false" ht="12.8" hidden="false" customHeight="false" outlineLevel="0" collapsed="false">
      <c r="G542" s="25" t="n">
        <v>44809</v>
      </c>
      <c r="H542" s="32" t="s">
        <v>15</v>
      </c>
      <c r="I542" s="5" t="n">
        <v>73</v>
      </c>
      <c r="J542" s="54" t="s">
        <v>38</v>
      </c>
      <c r="K542" s="0"/>
      <c r="L542" s="0"/>
      <c r="U542" s="0"/>
      <c r="V542" s="0"/>
      <c r="W542" s="0"/>
      <c r="X542" s="0"/>
      <c r="Y542" s="0"/>
    </row>
    <row r="543" customFormat="false" ht="12.8" hidden="false" customHeight="false" outlineLevel="0" collapsed="false">
      <c r="G543" s="25" t="n">
        <v>44809</v>
      </c>
      <c r="H543" s="32" t="s">
        <v>15</v>
      </c>
      <c r="I543" s="5" t="n">
        <f aca="false">-9.47-62.67</f>
        <v>-72.14</v>
      </c>
      <c r="J543" s="54" t="s">
        <v>37</v>
      </c>
      <c r="K543" s="0"/>
      <c r="L543" s="0"/>
      <c r="U543" s="0"/>
      <c r="V543" s="0"/>
      <c r="W543" s="0"/>
      <c r="X543" s="0"/>
      <c r="Y543" s="0"/>
    </row>
    <row r="544" customFormat="false" ht="12.8" hidden="false" customHeight="false" outlineLevel="0" collapsed="false">
      <c r="G544" s="25" t="n">
        <v>44809</v>
      </c>
      <c r="H544" s="26" t="s">
        <v>10</v>
      </c>
      <c r="I544" s="5" t="n">
        <v>-22</v>
      </c>
      <c r="J544" s="54" t="s">
        <v>38</v>
      </c>
      <c r="K544" s="0"/>
      <c r="L544" s="0"/>
      <c r="U544" s="0"/>
      <c r="V544" s="0"/>
      <c r="W544" s="0"/>
      <c r="X544" s="0"/>
      <c r="Y544" s="0"/>
    </row>
    <row r="545" customFormat="false" ht="12.8" hidden="false" customHeight="false" outlineLevel="0" collapsed="false">
      <c r="G545" s="25" t="n">
        <v>44809</v>
      </c>
      <c r="H545" s="32" t="s">
        <v>15</v>
      </c>
      <c r="I545" s="5" t="n">
        <v>22</v>
      </c>
      <c r="J545" s="54" t="s">
        <v>38</v>
      </c>
      <c r="K545" s="0"/>
      <c r="L545" s="0"/>
      <c r="U545" s="0"/>
      <c r="V545" s="0"/>
      <c r="W545" s="0"/>
      <c r="X545" s="0"/>
      <c r="Y545" s="0"/>
    </row>
    <row r="546" customFormat="false" ht="12.8" hidden="false" customHeight="false" outlineLevel="0" collapsed="false">
      <c r="G546" s="25" t="n">
        <v>44809</v>
      </c>
      <c r="H546" s="32" t="s">
        <v>15</v>
      </c>
      <c r="I546" s="5" t="n">
        <f aca="false">-17.15-5.15</f>
        <v>-22.3</v>
      </c>
      <c r="J546" s="54" t="s">
        <v>37</v>
      </c>
      <c r="K546" s="0"/>
      <c r="L546" s="0"/>
      <c r="U546" s="0"/>
      <c r="V546" s="0"/>
      <c r="W546" s="0"/>
      <c r="X546" s="0"/>
      <c r="Y546" s="0"/>
    </row>
    <row r="547" customFormat="false" ht="12.8" hidden="false" customHeight="false" outlineLevel="0" collapsed="false">
      <c r="G547" s="25" t="n">
        <v>44810</v>
      </c>
      <c r="H547" s="26" t="s">
        <v>10</v>
      </c>
      <c r="I547" s="5" t="n">
        <v>-72</v>
      </c>
      <c r="J547" s="54" t="s">
        <v>38</v>
      </c>
      <c r="K547" s="0"/>
      <c r="L547" s="0"/>
      <c r="U547" s="0"/>
      <c r="V547" s="0"/>
      <c r="W547" s="0"/>
      <c r="X547" s="0"/>
      <c r="Y547" s="0"/>
    </row>
    <row r="548" customFormat="false" ht="12.8" hidden="false" customHeight="false" outlineLevel="0" collapsed="false">
      <c r="G548" s="25" t="n">
        <v>44810</v>
      </c>
      <c r="H548" s="32" t="s">
        <v>15</v>
      </c>
      <c r="I548" s="5" t="n">
        <v>72</v>
      </c>
      <c r="J548" s="54" t="s">
        <v>38</v>
      </c>
      <c r="K548" s="0"/>
      <c r="L548" s="0"/>
      <c r="U548" s="0"/>
      <c r="V548" s="0"/>
      <c r="W548" s="0"/>
      <c r="X548" s="0"/>
      <c r="Y548" s="0"/>
    </row>
    <row r="549" customFormat="false" ht="12.8" hidden="false" customHeight="false" outlineLevel="0" collapsed="false">
      <c r="G549" s="25" t="n">
        <v>44810</v>
      </c>
      <c r="H549" s="32" t="s">
        <v>15</v>
      </c>
      <c r="I549" s="5" t="n">
        <v>-72.28</v>
      </c>
      <c r="J549" s="54" t="s">
        <v>37</v>
      </c>
      <c r="K549" s="0"/>
      <c r="L549" s="0"/>
      <c r="U549" s="0"/>
      <c r="V549" s="0"/>
      <c r="W549" s="0"/>
      <c r="X549" s="0"/>
      <c r="Y549" s="0"/>
    </row>
    <row r="550" customFormat="false" ht="12.8" hidden="false" customHeight="false" outlineLevel="0" collapsed="false">
      <c r="G550" s="25" t="n">
        <v>44811</v>
      </c>
      <c r="H550" s="26" t="s">
        <v>10</v>
      </c>
      <c r="I550" s="5" t="n">
        <v>-72</v>
      </c>
      <c r="J550" s="54" t="s">
        <v>38</v>
      </c>
      <c r="K550" s="0"/>
      <c r="L550" s="0"/>
      <c r="U550" s="0"/>
      <c r="V550" s="0"/>
      <c r="W550" s="0"/>
      <c r="X550" s="0"/>
      <c r="Y550" s="0"/>
    </row>
    <row r="551" customFormat="false" ht="12.8" hidden="false" customHeight="false" outlineLevel="0" collapsed="false">
      <c r="G551" s="25" t="n">
        <v>44811</v>
      </c>
      <c r="H551" s="32" t="s">
        <v>15</v>
      </c>
      <c r="I551" s="5" t="n">
        <v>72</v>
      </c>
      <c r="J551" s="54" t="s">
        <v>38</v>
      </c>
      <c r="K551" s="0"/>
      <c r="L551" s="0"/>
      <c r="U551" s="0"/>
      <c r="V551" s="0"/>
      <c r="W551" s="0"/>
      <c r="X551" s="0"/>
      <c r="Y551" s="0"/>
    </row>
    <row r="552" customFormat="false" ht="12.8" hidden="false" customHeight="false" outlineLevel="0" collapsed="false">
      <c r="G552" s="25" t="n">
        <v>44811</v>
      </c>
      <c r="H552" s="32" t="s">
        <v>15</v>
      </c>
      <c r="I552" s="5" t="n">
        <f aca="false">-64.78</f>
        <v>-64.78</v>
      </c>
      <c r="J552" s="54" t="s">
        <v>37</v>
      </c>
      <c r="K552" s="0"/>
      <c r="L552" s="0"/>
      <c r="U552" s="0"/>
      <c r="V552" s="0"/>
      <c r="W552" s="0"/>
      <c r="X552" s="0"/>
      <c r="Y552" s="0"/>
    </row>
    <row r="553" customFormat="false" ht="12.8" hidden="false" customHeight="false" outlineLevel="0" collapsed="false">
      <c r="G553" s="25" t="n">
        <v>44812</v>
      </c>
      <c r="H553" s="26" t="s">
        <v>10</v>
      </c>
      <c r="I553" s="5" t="n">
        <v>-65</v>
      </c>
      <c r="J553" s="54" t="s">
        <v>38</v>
      </c>
      <c r="K553" s="0"/>
      <c r="L553" s="0"/>
      <c r="U553" s="0"/>
      <c r="V553" s="0"/>
      <c r="W553" s="0"/>
      <c r="X553" s="0"/>
      <c r="Y553" s="0"/>
    </row>
    <row r="554" customFormat="false" ht="12.8" hidden="false" customHeight="false" outlineLevel="0" collapsed="false">
      <c r="G554" s="25" t="n">
        <v>44812</v>
      </c>
      <c r="H554" s="32" t="s">
        <v>15</v>
      </c>
      <c r="I554" s="5" t="n">
        <v>65</v>
      </c>
      <c r="J554" s="54" t="s">
        <v>38</v>
      </c>
      <c r="K554" s="0"/>
      <c r="L554" s="0"/>
      <c r="U554" s="0"/>
      <c r="V554" s="0"/>
      <c r="W554" s="0"/>
      <c r="X554" s="0"/>
      <c r="Y554" s="0"/>
    </row>
    <row r="555" customFormat="false" ht="12.8" hidden="false" customHeight="false" outlineLevel="0" collapsed="false">
      <c r="G555" s="25" t="n">
        <v>44812</v>
      </c>
      <c r="H555" s="32" t="s">
        <v>15</v>
      </c>
      <c r="I555" s="5" t="n">
        <v>-69.37</v>
      </c>
      <c r="J555" s="54" t="s">
        <v>37</v>
      </c>
      <c r="K555" s="0"/>
      <c r="L555" s="0"/>
      <c r="U555" s="0"/>
      <c r="V555" s="0"/>
      <c r="W555" s="0"/>
      <c r="X555" s="0"/>
      <c r="Y555" s="0"/>
    </row>
    <row r="556" customFormat="false" ht="12.8" hidden="false" customHeight="false" outlineLevel="0" collapsed="false">
      <c r="G556" s="25" t="n">
        <v>44813</v>
      </c>
      <c r="H556" s="26" t="s">
        <v>10</v>
      </c>
      <c r="I556" s="5" t="n">
        <v>-69</v>
      </c>
      <c r="J556" s="54" t="s">
        <v>38</v>
      </c>
      <c r="K556" s="0"/>
      <c r="L556" s="0"/>
      <c r="U556" s="0"/>
      <c r="V556" s="0"/>
      <c r="W556" s="0"/>
      <c r="X556" s="0"/>
      <c r="Y556" s="0"/>
    </row>
    <row r="557" customFormat="false" ht="12.8" hidden="false" customHeight="false" outlineLevel="0" collapsed="false">
      <c r="G557" s="25" t="n">
        <v>44813</v>
      </c>
      <c r="H557" s="32" t="s">
        <v>15</v>
      </c>
      <c r="I557" s="5" t="n">
        <v>69</v>
      </c>
      <c r="J557" s="54" t="s">
        <v>38</v>
      </c>
      <c r="K557" s="0"/>
      <c r="L557" s="0"/>
      <c r="U557" s="0"/>
      <c r="V557" s="0"/>
      <c r="W557" s="0"/>
      <c r="X557" s="0"/>
      <c r="Y557" s="0"/>
    </row>
    <row r="558" customFormat="false" ht="12.8" hidden="false" customHeight="false" outlineLevel="0" collapsed="false">
      <c r="G558" s="25" t="n">
        <v>44813</v>
      </c>
      <c r="H558" s="32" t="s">
        <v>15</v>
      </c>
      <c r="I558" s="5" t="n">
        <f aca="false">-53.67</f>
        <v>-53.67</v>
      </c>
      <c r="J558" s="54" t="s">
        <v>37</v>
      </c>
      <c r="K558" s="0"/>
      <c r="L558" s="0"/>
      <c r="U558" s="0"/>
      <c r="V558" s="0"/>
      <c r="W558" s="0"/>
      <c r="X558" s="0"/>
      <c r="Y558" s="0"/>
    </row>
    <row r="559" customFormat="false" ht="12.8" hidden="false" customHeight="false" outlineLevel="0" collapsed="false">
      <c r="G559" s="25" t="n">
        <v>44813</v>
      </c>
      <c r="H559" s="26" t="s">
        <v>10</v>
      </c>
      <c r="I559" s="5" t="n">
        <v>-24</v>
      </c>
      <c r="J559" s="54" t="s">
        <v>38</v>
      </c>
      <c r="K559" s="0"/>
      <c r="L559" s="0"/>
      <c r="U559" s="0"/>
      <c r="V559" s="0"/>
      <c r="W559" s="0"/>
      <c r="X559" s="0"/>
      <c r="Y559" s="0"/>
    </row>
    <row r="560" customFormat="false" ht="12.8" hidden="false" customHeight="false" outlineLevel="0" collapsed="false">
      <c r="G560" s="25" t="n">
        <v>44813</v>
      </c>
      <c r="H560" s="32" t="s">
        <v>15</v>
      </c>
      <c r="I560" s="5" t="n">
        <v>24</v>
      </c>
      <c r="J560" s="54" t="s">
        <v>38</v>
      </c>
      <c r="K560" s="0"/>
      <c r="L560" s="0"/>
      <c r="U560" s="0"/>
      <c r="V560" s="0"/>
      <c r="W560" s="0"/>
      <c r="X560" s="0"/>
      <c r="Y560" s="0"/>
    </row>
    <row r="561" customFormat="false" ht="12.8" hidden="false" customHeight="false" outlineLevel="0" collapsed="false">
      <c r="G561" s="25" t="n">
        <v>44813</v>
      </c>
      <c r="H561" s="32" t="s">
        <v>15</v>
      </c>
      <c r="I561" s="5" t="n">
        <v>-43.1</v>
      </c>
      <c r="J561" s="54" t="s">
        <v>37</v>
      </c>
      <c r="K561" s="0"/>
      <c r="L561" s="0"/>
      <c r="U561" s="0"/>
      <c r="V561" s="0"/>
      <c r="W561" s="0"/>
      <c r="X561" s="0"/>
      <c r="Y561" s="0"/>
    </row>
    <row r="562" customFormat="false" ht="12.8" hidden="false" customHeight="false" outlineLevel="0" collapsed="false">
      <c r="G562" s="25" t="n">
        <v>44814</v>
      </c>
      <c r="H562" s="26" t="s">
        <v>10</v>
      </c>
      <c r="I562" s="5" t="n">
        <v>-73</v>
      </c>
      <c r="J562" s="54" t="s">
        <v>38</v>
      </c>
      <c r="K562" s="0"/>
      <c r="L562" s="0"/>
      <c r="U562" s="0"/>
      <c r="V562" s="0"/>
      <c r="W562" s="0"/>
      <c r="X562" s="0"/>
      <c r="Y562" s="0"/>
    </row>
    <row r="563" customFormat="false" ht="12.8" hidden="false" customHeight="false" outlineLevel="0" collapsed="false">
      <c r="G563" s="25" t="n">
        <v>44814</v>
      </c>
      <c r="H563" s="32" t="s">
        <v>15</v>
      </c>
      <c r="I563" s="5" t="n">
        <v>73</v>
      </c>
      <c r="J563" s="54" t="s">
        <v>38</v>
      </c>
      <c r="K563" s="0"/>
      <c r="L563" s="0"/>
      <c r="U563" s="0"/>
      <c r="V563" s="0"/>
      <c r="W563" s="0"/>
      <c r="X563" s="0"/>
      <c r="Y563" s="0"/>
    </row>
    <row r="564" customFormat="false" ht="12.8" hidden="false" customHeight="false" outlineLevel="0" collapsed="false">
      <c r="G564" s="25" t="n">
        <v>44814</v>
      </c>
      <c r="H564" s="32" t="s">
        <v>15</v>
      </c>
      <c r="I564" s="5" t="n">
        <v>-75</v>
      </c>
      <c r="J564" s="54" t="s">
        <v>37</v>
      </c>
      <c r="K564" s="0"/>
      <c r="L564" s="0"/>
      <c r="U564" s="0"/>
      <c r="V564" s="0"/>
      <c r="W564" s="0"/>
      <c r="X564" s="0"/>
      <c r="Y564" s="0"/>
    </row>
    <row r="565" customFormat="false" ht="12.8" hidden="false" customHeight="false" outlineLevel="0" collapsed="false">
      <c r="G565" s="25" t="n">
        <v>44815</v>
      </c>
      <c r="H565" s="26" t="s">
        <v>10</v>
      </c>
      <c r="I565" s="5" t="n">
        <v>-75</v>
      </c>
      <c r="J565" s="54" t="s">
        <v>38</v>
      </c>
      <c r="K565" s="0"/>
      <c r="L565" s="0"/>
      <c r="U565" s="0"/>
      <c r="V565" s="0"/>
      <c r="W565" s="0"/>
      <c r="X565" s="0"/>
      <c r="Y565" s="0"/>
    </row>
    <row r="566" customFormat="false" ht="12.8" hidden="false" customHeight="false" outlineLevel="0" collapsed="false">
      <c r="G566" s="25" t="n">
        <v>44815</v>
      </c>
      <c r="H566" s="32" t="s">
        <v>15</v>
      </c>
      <c r="I566" s="5" t="n">
        <v>75</v>
      </c>
      <c r="J566" s="54" t="s">
        <v>38</v>
      </c>
      <c r="K566" s="0"/>
      <c r="L566" s="0"/>
      <c r="U566" s="0"/>
      <c r="V566" s="0"/>
      <c r="W566" s="0"/>
      <c r="X566" s="0"/>
      <c r="Y566" s="0"/>
    </row>
    <row r="567" customFormat="false" ht="12.8" hidden="false" customHeight="false" outlineLevel="0" collapsed="false">
      <c r="G567" s="25" t="n">
        <v>44815</v>
      </c>
      <c r="H567" s="32" t="s">
        <v>15</v>
      </c>
      <c r="I567" s="5" t="n">
        <v>-65.16</v>
      </c>
      <c r="J567" s="54" t="s">
        <v>37</v>
      </c>
      <c r="K567" s="0"/>
      <c r="L567" s="0"/>
      <c r="U567" s="0"/>
      <c r="V567" s="0"/>
      <c r="W567" s="0"/>
      <c r="X567" s="0"/>
      <c r="Y567" s="0"/>
    </row>
    <row r="568" customFormat="false" ht="12.8" hidden="false" customHeight="false" outlineLevel="0" collapsed="false">
      <c r="G568" s="25" t="n">
        <v>44815</v>
      </c>
      <c r="H568" s="26" t="s">
        <v>10</v>
      </c>
      <c r="I568" s="5" t="n">
        <v>-25</v>
      </c>
      <c r="J568" s="54" t="s">
        <v>38</v>
      </c>
      <c r="K568" s="0"/>
      <c r="L568" s="0"/>
      <c r="U568" s="0"/>
      <c r="V568" s="0"/>
      <c r="W568" s="0"/>
      <c r="X568" s="0"/>
      <c r="Y568" s="0"/>
    </row>
    <row r="569" customFormat="false" ht="12.8" hidden="false" customHeight="false" outlineLevel="0" collapsed="false">
      <c r="G569" s="25" t="n">
        <v>44815</v>
      </c>
      <c r="H569" s="32" t="s">
        <v>15</v>
      </c>
      <c r="I569" s="5" t="n">
        <v>25</v>
      </c>
      <c r="J569" s="54" t="s">
        <v>38</v>
      </c>
      <c r="K569" s="0"/>
      <c r="L569" s="0"/>
      <c r="U569" s="0"/>
      <c r="V569" s="0"/>
      <c r="W569" s="0"/>
      <c r="X569" s="0"/>
      <c r="Y569" s="0"/>
    </row>
    <row r="570" customFormat="false" ht="12.8" hidden="false" customHeight="false" outlineLevel="0" collapsed="false">
      <c r="G570" s="25" t="n">
        <v>44815</v>
      </c>
      <c r="H570" s="32" t="s">
        <v>15</v>
      </c>
      <c r="I570" s="5" t="n">
        <v>-29.42</v>
      </c>
      <c r="J570" s="54" t="s">
        <v>37</v>
      </c>
      <c r="K570" s="0"/>
      <c r="L570" s="0"/>
      <c r="U570" s="0"/>
      <c r="V570" s="0"/>
      <c r="W570" s="0"/>
      <c r="X570" s="0"/>
      <c r="Y570" s="0"/>
    </row>
    <row r="571" customFormat="false" ht="12.8" hidden="false" customHeight="false" outlineLevel="0" collapsed="false">
      <c r="G571" s="25" t="n">
        <v>44816</v>
      </c>
      <c r="H571" s="26" t="s">
        <v>10</v>
      </c>
      <c r="I571" s="5" t="n">
        <v>-70</v>
      </c>
      <c r="J571" s="54" t="s">
        <v>38</v>
      </c>
      <c r="K571" s="0"/>
      <c r="L571" s="0"/>
      <c r="U571" s="0"/>
      <c r="V571" s="0"/>
      <c r="W571" s="0"/>
      <c r="X571" s="0"/>
      <c r="Y571" s="0"/>
    </row>
    <row r="572" customFormat="false" ht="12.8" hidden="false" customHeight="false" outlineLevel="0" collapsed="false">
      <c r="G572" s="25" t="n">
        <v>44816</v>
      </c>
      <c r="H572" s="32" t="s">
        <v>15</v>
      </c>
      <c r="I572" s="5" t="n">
        <v>70</v>
      </c>
      <c r="J572" s="54" t="s">
        <v>38</v>
      </c>
      <c r="K572" s="0"/>
      <c r="L572" s="0"/>
      <c r="U572" s="0"/>
      <c r="V572" s="0"/>
      <c r="W572" s="0"/>
      <c r="X572" s="0"/>
      <c r="Y572" s="0"/>
    </row>
    <row r="573" customFormat="false" ht="12.8" hidden="false" customHeight="false" outlineLevel="0" collapsed="false">
      <c r="G573" s="25" t="n">
        <v>44816</v>
      </c>
      <c r="H573" s="32" t="s">
        <v>15</v>
      </c>
      <c r="I573" s="5" t="n">
        <v>-73.66</v>
      </c>
      <c r="J573" s="54" t="s">
        <v>37</v>
      </c>
      <c r="K573" s="0"/>
      <c r="L573" s="0"/>
      <c r="U573" s="0"/>
      <c r="V573" s="0"/>
      <c r="W573" s="0"/>
      <c r="X573" s="0"/>
      <c r="Y573" s="0"/>
    </row>
    <row r="574" customFormat="false" ht="12.8" hidden="false" customHeight="false" outlineLevel="0" collapsed="false">
      <c r="G574" s="25" t="n">
        <v>44817</v>
      </c>
      <c r="H574" s="26" t="s">
        <v>10</v>
      </c>
      <c r="I574" s="5" t="n">
        <v>-73</v>
      </c>
      <c r="J574" s="54" t="s">
        <v>38</v>
      </c>
      <c r="K574" s="0"/>
      <c r="L574" s="0"/>
      <c r="U574" s="0"/>
      <c r="V574" s="0"/>
      <c r="W574" s="0"/>
      <c r="X574" s="0"/>
      <c r="Y574" s="0"/>
    </row>
    <row r="575" customFormat="false" ht="12.8" hidden="false" customHeight="false" outlineLevel="0" collapsed="false">
      <c r="G575" s="25" t="n">
        <v>44817</v>
      </c>
      <c r="H575" s="32" t="s">
        <v>15</v>
      </c>
      <c r="I575" s="5" t="n">
        <v>73</v>
      </c>
      <c r="J575" s="54" t="s">
        <v>38</v>
      </c>
      <c r="K575" s="0"/>
      <c r="L575" s="0"/>
      <c r="U575" s="0"/>
      <c r="V575" s="0"/>
      <c r="W575" s="0"/>
      <c r="X575" s="0"/>
      <c r="Y575" s="0"/>
    </row>
    <row r="576" customFormat="false" ht="12.8" hidden="false" customHeight="false" outlineLevel="0" collapsed="false">
      <c r="G576" s="25" t="n">
        <v>44817</v>
      </c>
      <c r="H576" s="32" t="s">
        <v>15</v>
      </c>
      <c r="I576" s="5" t="n">
        <v>-71.84</v>
      </c>
      <c r="J576" s="54" t="s">
        <v>37</v>
      </c>
      <c r="K576" s="0"/>
      <c r="L576" s="0"/>
      <c r="U576" s="0"/>
      <c r="V576" s="0"/>
      <c r="W576" s="0"/>
      <c r="X576" s="0"/>
      <c r="Y576" s="0"/>
    </row>
    <row r="577" customFormat="false" ht="12.8" hidden="false" customHeight="false" outlineLevel="0" collapsed="false">
      <c r="G577" s="25" t="n">
        <v>44817</v>
      </c>
      <c r="H577" s="26" t="s">
        <v>10</v>
      </c>
      <c r="I577" s="5" t="n">
        <v>-22</v>
      </c>
      <c r="J577" s="54" t="s">
        <v>38</v>
      </c>
      <c r="K577" s="0"/>
      <c r="L577" s="0"/>
      <c r="U577" s="0"/>
      <c r="V577" s="0"/>
      <c r="W577" s="0"/>
      <c r="X577" s="0"/>
      <c r="Y577" s="0"/>
    </row>
    <row r="578" customFormat="false" ht="12.8" hidden="false" customHeight="false" outlineLevel="0" collapsed="false">
      <c r="G578" s="25" t="n">
        <v>44817</v>
      </c>
      <c r="H578" s="32" t="s">
        <v>15</v>
      </c>
      <c r="I578" s="5" t="n">
        <v>22</v>
      </c>
      <c r="J578" s="54" t="s">
        <v>38</v>
      </c>
      <c r="K578" s="0"/>
      <c r="L578" s="0"/>
      <c r="U578" s="0"/>
      <c r="V578" s="0"/>
      <c r="W578" s="0"/>
      <c r="X578" s="0"/>
      <c r="Y578" s="0"/>
    </row>
    <row r="579" customFormat="false" ht="12.8" hidden="false" customHeight="false" outlineLevel="0" collapsed="false">
      <c r="G579" s="25" t="n">
        <v>44817</v>
      </c>
      <c r="H579" s="32" t="s">
        <v>15</v>
      </c>
      <c r="I579" s="5" t="n">
        <v>-21.57</v>
      </c>
      <c r="J579" s="54" t="s">
        <v>37</v>
      </c>
      <c r="K579" s="0"/>
      <c r="L579" s="0"/>
      <c r="U579" s="0"/>
      <c r="V579" s="0"/>
      <c r="W579" s="0"/>
      <c r="X579" s="0"/>
      <c r="Y579" s="0"/>
    </row>
    <row r="580" customFormat="false" ht="12.8" hidden="false" customHeight="false" outlineLevel="0" collapsed="false">
      <c r="G580" s="25" t="n">
        <v>44818</v>
      </c>
      <c r="H580" s="26" t="s">
        <v>10</v>
      </c>
      <c r="I580" s="5" t="n">
        <v>-72</v>
      </c>
      <c r="J580" s="54" t="s">
        <v>38</v>
      </c>
      <c r="K580" s="0"/>
      <c r="L580" s="0"/>
      <c r="U580" s="0"/>
      <c r="V580" s="0"/>
      <c r="W580" s="0"/>
      <c r="X580" s="0"/>
      <c r="Y580" s="0"/>
    </row>
    <row r="581" customFormat="false" ht="12.8" hidden="false" customHeight="false" outlineLevel="0" collapsed="false">
      <c r="G581" s="25" t="n">
        <v>44818</v>
      </c>
      <c r="H581" s="32" t="s">
        <v>15</v>
      </c>
      <c r="I581" s="5" t="n">
        <v>72</v>
      </c>
      <c r="J581" s="54" t="s">
        <v>38</v>
      </c>
      <c r="K581" s="0"/>
      <c r="L581" s="0"/>
      <c r="U581" s="0"/>
      <c r="V581" s="0"/>
      <c r="W581" s="0"/>
      <c r="X581" s="0"/>
      <c r="Y581" s="0"/>
    </row>
    <row r="582" customFormat="false" ht="12.8" hidden="false" customHeight="false" outlineLevel="0" collapsed="false">
      <c r="G582" s="25" t="n">
        <v>44818</v>
      </c>
      <c r="H582" s="32" t="s">
        <v>15</v>
      </c>
      <c r="I582" s="5" t="n">
        <f aca="false">-66.22-5.98</f>
        <v>-72.2</v>
      </c>
      <c r="J582" s="54" t="s">
        <v>37</v>
      </c>
      <c r="K582" s="0"/>
      <c r="L582" s="0"/>
      <c r="U582" s="0"/>
      <c r="V582" s="0"/>
      <c r="W582" s="0"/>
      <c r="X582" s="0"/>
      <c r="Y582" s="0"/>
    </row>
    <row r="583" customFormat="false" ht="12.8" hidden="false" customHeight="false" outlineLevel="0" collapsed="false">
      <c r="G583" s="25" t="n">
        <v>44818</v>
      </c>
      <c r="H583" s="43" t="s">
        <v>23</v>
      </c>
      <c r="I583" s="5" t="n">
        <v>1524</v>
      </c>
      <c r="J583" s="10" t="s">
        <v>42</v>
      </c>
      <c r="K583" s="0"/>
      <c r="L583" s="0"/>
      <c r="U583" s="0"/>
      <c r="V583" s="0"/>
      <c r="W583" s="0"/>
      <c r="X583" s="0"/>
      <c r="Y583" s="0"/>
    </row>
    <row r="584" customFormat="false" ht="12.8" hidden="false" customHeight="false" outlineLevel="0" collapsed="false">
      <c r="G584" s="25" t="n">
        <v>44818</v>
      </c>
      <c r="H584" s="43" t="s">
        <v>23</v>
      </c>
      <c r="I584" s="5" t="n">
        <v>-5</v>
      </c>
      <c r="J584" s="10" t="s">
        <v>43</v>
      </c>
      <c r="K584" s="0"/>
      <c r="L584" s="0"/>
      <c r="U584" s="0"/>
      <c r="V584" s="0"/>
      <c r="W584" s="0"/>
      <c r="X584" s="0"/>
      <c r="Y584" s="0"/>
    </row>
    <row r="585" customFormat="false" ht="12.8" hidden="false" customHeight="false" outlineLevel="0" collapsed="false">
      <c r="G585" s="25" t="n">
        <v>44819</v>
      </c>
      <c r="H585" s="26" t="s">
        <v>10</v>
      </c>
      <c r="I585" s="5" t="n">
        <v>-52</v>
      </c>
      <c r="J585" s="54" t="s">
        <v>38</v>
      </c>
      <c r="K585" s="0"/>
      <c r="L585" s="0"/>
      <c r="U585" s="0"/>
      <c r="V585" s="0"/>
      <c r="W585" s="0"/>
      <c r="X585" s="0"/>
      <c r="Y585" s="0"/>
    </row>
    <row r="586" customFormat="false" ht="12.8" hidden="false" customHeight="false" outlineLevel="0" collapsed="false">
      <c r="G586" s="25" t="n">
        <v>44819</v>
      </c>
      <c r="H586" s="32" t="s">
        <v>15</v>
      </c>
      <c r="I586" s="5" t="n">
        <v>52</v>
      </c>
      <c r="J586" s="54" t="s">
        <v>38</v>
      </c>
      <c r="K586" s="0"/>
      <c r="L586" s="0"/>
      <c r="U586" s="0"/>
      <c r="V586" s="0"/>
      <c r="W586" s="0"/>
      <c r="X586" s="0"/>
      <c r="Y586" s="0"/>
    </row>
    <row r="587" customFormat="false" ht="12.8" hidden="false" customHeight="false" outlineLevel="0" collapsed="false">
      <c r="G587" s="25" t="n">
        <v>44819</v>
      </c>
      <c r="H587" s="43" t="s">
        <v>23</v>
      </c>
      <c r="I587" s="5" t="n">
        <v>-15</v>
      </c>
      <c r="J587" s="10" t="s">
        <v>45</v>
      </c>
      <c r="K587" s="0"/>
      <c r="L587" s="0"/>
      <c r="U587" s="0"/>
      <c r="V587" s="0"/>
      <c r="W587" s="0"/>
      <c r="X587" s="0"/>
      <c r="Y587" s="0"/>
    </row>
    <row r="588" customFormat="false" ht="12.8" hidden="false" customHeight="false" outlineLevel="0" collapsed="false">
      <c r="G588" s="25" t="n">
        <v>44819</v>
      </c>
      <c r="H588" s="38" t="s">
        <v>21</v>
      </c>
      <c r="I588" s="5" t="n">
        <v>15</v>
      </c>
      <c r="J588" s="0" t="s">
        <v>45</v>
      </c>
      <c r="K588" s="0"/>
      <c r="L588" s="0"/>
      <c r="U588" s="0"/>
      <c r="V588" s="0"/>
      <c r="W588" s="0"/>
      <c r="X588" s="0"/>
      <c r="Y588" s="0"/>
    </row>
    <row r="589" customFormat="false" ht="12.8" hidden="false" customHeight="false" outlineLevel="0" collapsed="false">
      <c r="G589" s="25" t="n">
        <v>44819</v>
      </c>
      <c r="H589" s="26" t="s">
        <v>10</v>
      </c>
      <c r="I589" s="5" t="n">
        <v>-10</v>
      </c>
      <c r="J589" s="54" t="s">
        <v>38</v>
      </c>
      <c r="K589" s="0"/>
      <c r="L589" s="0"/>
      <c r="U589" s="0"/>
      <c r="V589" s="0"/>
      <c r="W589" s="0"/>
      <c r="X589" s="0"/>
      <c r="Y589" s="0"/>
    </row>
    <row r="590" customFormat="false" ht="12.8" hidden="false" customHeight="false" outlineLevel="0" collapsed="false">
      <c r="G590" s="25" t="n">
        <v>44819</v>
      </c>
      <c r="H590" s="32" t="s">
        <v>15</v>
      </c>
      <c r="I590" s="5" t="n">
        <v>10</v>
      </c>
      <c r="J590" s="54" t="s">
        <v>38</v>
      </c>
      <c r="K590" s="0"/>
      <c r="L590" s="0"/>
      <c r="U590" s="0"/>
      <c r="V590" s="0"/>
      <c r="W590" s="0"/>
      <c r="X590" s="0"/>
      <c r="Y590" s="0"/>
    </row>
    <row r="591" customFormat="false" ht="12.8" hidden="false" customHeight="false" outlineLevel="0" collapsed="false">
      <c r="G591" s="25" t="n">
        <v>44819</v>
      </c>
      <c r="H591" s="32" t="s">
        <v>15</v>
      </c>
      <c r="I591" s="5" t="n">
        <v>-65</v>
      </c>
      <c r="J591" s="54" t="s">
        <v>50</v>
      </c>
      <c r="K591" s="0"/>
      <c r="L591" s="0"/>
      <c r="U591" s="0"/>
      <c r="V591" s="0"/>
      <c r="W591" s="0"/>
      <c r="X591" s="0"/>
      <c r="Y591" s="0"/>
    </row>
    <row r="592" customFormat="false" ht="12.8" hidden="false" customHeight="false" outlineLevel="0" collapsed="false">
      <c r="G592" s="25" t="n">
        <v>44819</v>
      </c>
      <c r="H592" s="48" t="s">
        <v>26</v>
      </c>
      <c r="I592" s="5" t="n">
        <v>65</v>
      </c>
      <c r="J592" s="0" t="s">
        <v>50</v>
      </c>
      <c r="K592" s="0"/>
      <c r="L592" s="0"/>
      <c r="U592" s="0"/>
      <c r="V592" s="0"/>
      <c r="W592" s="0"/>
      <c r="X592" s="0"/>
      <c r="Y592" s="0"/>
    </row>
    <row r="593" customFormat="false" ht="12.8" hidden="false" customHeight="false" outlineLevel="0" collapsed="false">
      <c r="G593" s="25" t="n">
        <v>44819</v>
      </c>
      <c r="H593" s="48" t="s">
        <v>26</v>
      </c>
      <c r="I593" s="5" t="n">
        <v>-65</v>
      </c>
      <c r="J593" s="0" t="s">
        <v>57</v>
      </c>
      <c r="K593" s="0"/>
      <c r="L593" s="0"/>
      <c r="U593" s="0"/>
      <c r="V593" s="0"/>
      <c r="W593" s="0"/>
      <c r="X593" s="0"/>
      <c r="Y593" s="0"/>
    </row>
    <row r="594" customFormat="false" ht="12.8" hidden="false" customHeight="false" outlineLevel="0" collapsed="false">
      <c r="G594" s="25" t="n">
        <v>44819</v>
      </c>
      <c r="H594" s="52" t="s">
        <v>14</v>
      </c>
      <c r="I594" s="5" t="n">
        <v>65</v>
      </c>
      <c r="J594" s="0" t="s">
        <v>57</v>
      </c>
      <c r="K594" s="0"/>
      <c r="L594" s="0"/>
      <c r="U594" s="0"/>
      <c r="V594" s="0"/>
      <c r="W594" s="0"/>
      <c r="X594" s="0"/>
      <c r="Y594" s="0"/>
    </row>
    <row r="595" customFormat="false" ht="12.8" hidden="false" customHeight="false" outlineLevel="0" collapsed="false">
      <c r="G595" s="25" t="n">
        <v>44819</v>
      </c>
      <c r="H595" s="43" t="s">
        <v>23</v>
      </c>
      <c r="I595" s="5" t="n">
        <v>-69.17</v>
      </c>
      <c r="J595" s="10" t="s">
        <v>37</v>
      </c>
      <c r="K595" s="0"/>
      <c r="L595" s="0"/>
      <c r="U595" s="0"/>
      <c r="V595" s="0"/>
      <c r="W595" s="0"/>
      <c r="X595" s="0"/>
      <c r="Y595" s="0"/>
    </row>
    <row r="596" customFormat="false" ht="12.8" hidden="false" customHeight="false" outlineLevel="0" collapsed="false">
      <c r="G596" s="25" t="n">
        <v>44819</v>
      </c>
      <c r="H596" s="43" t="s">
        <v>23</v>
      </c>
      <c r="I596" s="5" t="n">
        <v>526</v>
      </c>
      <c r="J596" s="10" t="s">
        <v>85</v>
      </c>
      <c r="K596" s="0"/>
      <c r="L596" s="0"/>
      <c r="U596" s="0"/>
      <c r="V596" s="0"/>
      <c r="W596" s="0"/>
      <c r="X596" s="0"/>
      <c r="Y596" s="0"/>
    </row>
    <row r="597" customFormat="false" ht="12.8" hidden="false" customHeight="false" outlineLevel="0" collapsed="false">
      <c r="G597" s="25" t="n">
        <v>44820</v>
      </c>
      <c r="H597" s="43" t="s">
        <v>23</v>
      </c>
      <c r="I597" s="5" t="n">
        <v>-141.6</v>
      </c>
      <c r="J597" s="10" t="s">
        <v>47</v>
      </c>
      <c r="K597" s="0"/>
      <c r="L597" s="0"/>
      <c r="U597" s="0"/>
      <c r="V597" s="0"/>
      <c r="W597" s="0"/>
      <c r="X597" s="0"/>
      <c r="Y597" s="0"/>
    </row>
    <row r="598" customFormat="false" ht="12.8" hidden="false" customHeight="false" outlineLevel="0" collapsed="false">
      <c r="G598" s="25" t="n">
        <v>44820</v>
      </c>
      <c r="H598" s="43" t="s">
        <v>23</v>
      </c>
      <c r="I598" s="5" t="n">
        <v>-65.48</v>
      </c>
      <c r="J598" s="10" t="s">
        <v>37</v>
      </c>
      <c r="K598" s="0"/>
      <c r="L598" s="0"/>
      <c r="U598" s="0"/>
      <c r="V598" s="0"/>
      <c r="W598" s="0"/>
      <c r="X598" s="0"/>
      <c r="Y598" s="0"/>
    </row>
    <row r="599" customFormat="false" ht="12.8" hidden="false" customHeight="false" outlineLevel="0" collapsed="false">
      <c r="G599" s="25" t="n">
        <v>44820</v>
      </c>
      <c r="H599" s="43" t="s">
        <v>23</v>
      </c>
      <c r="I599" s="5" t="n">
        <v>-65.52</v>
      </c>
      <c r="J599" s="10" t="s">
        <v>48</v>
      </c>
      <c r="K599" s="0"/>
      <c r="L599" s="0"/>
      <c r="U599" s="0"/>
      <c r="V599" s="0"/>
      <c r="W599" s="0"/>
      <c r="X599" s="0"/>
      <c r="Y599" s="0"/>
    </row>
    <row r="600" customFormat="false" ht="12.8" hidden="false" customHeight="false" outlineLevel="0" collapsed="false">
      <c r="G600" s="25" t="n">
        <v>44820</v>
      </c>
      <c r="H600" s="26" t="s">
        <v>10</v>
      </c>
      <c r="I600" s="5" t="n">
        <v>-348</v>
      </c>
      <c r="J600" s="54" t="s">
        <v>38</v>
      </c>
      <c r="K600" s="0"/>
      <c r="L600" s="0"/>
      <c r="U600" s="0"/>
      <c r="V600" s="0"/>
      <c r="W600" s="0"/>
      <c r="X600" s="0"/>
      <c r="Y600" s="0"/>
    </row>
    <row r="601" customFormat="false" ht="12.8" hidden="false" customHeight="false" outlineLevel="0" collapsed="false">
      <c r="G601" s="25" t="n">
        <v>44820</v>
      </c>
      <c r="H601" s="32" t="s">
        <v>15</v>
      </c>
      <c r="I601" s="5" t="n">
        <v>348</v>
      </c>
      <c r="J601" s="54" t="s">
        <v>38</v>
      </c>
      <c r="K601" s="0"/>
      <c r="L601" s="0"/>
      <c r="U601" s="0"/>
      <c r="V601" s="0"/>
      <c r="W601" s="0"/>
      <c r="X601" s="0"/>
      <c r="Y601" s="0"/>
    </row>
    <row r="602" customFormat="false" ht="12.8" hidden="false" customHeight="false" outlineLevel="0" collapsed="false">
      <c r="G602" s="25" t="n">
        <v>44820</v>
      </c>
      <c r="H602" s="32" t="s">
        <v>15</v>
      </c>
      <c r="I602" s="5" t="n">
        <v>-348</v>
      </c>
      <c r="J602" s="54" t="s">
        <v>50</v>
      </c>
      <c r="K602" s="0"/>
      <c r="L602" s="0"/>
      <c r="U602" s="0"/>
      <c r="V602" s="0"/>
      <c r="W602" s="0"/>
      <c r="X602" s="0"/>
      <c r="Y602" s="0"/>
    </row>
    <row r="603" customFormat="false" ht="12.8" hidden="false" customHeight="false" outlineLevel="0" collapsed="false">
      <c r="G603" s="25" t="n">
        <v>44820</v>
      </c>
      <c r="H603" s="48" t="s">
        <v>26</v>
      </c>
      <c r="I603" s="5" t="n">
        <v>348</v>
      </c>
      <c r="J603" s="0" t="s">
        <v>50</v>
      </c>
      <c r="K603" s="0"/>
      <c r="L603" s="0"/>
      <c r="U603" s="0"/>
      <c r="V603" s="0"/>
      <c r="W603" s="0"/>
      <c r="X603" s="0"/>
      <c r="Y603" s="0"/>
    </row>
    <row r="604" customFormat="false" ht="12.8" hidden="false" customHeight="false" outlineLevel="0" collapsed="false">
      <c r="G604" s="25" t="n">
        <v>44820</v>
      </c>
      <c r="H604" s="48" t="s">
        <v>26</v>
      </c>
      <c r="I604" s="5" t="n">
        <v>-348</v>
      </c>
      <c r="J604" s="0" t="s">
        <v>57</v>
      </c>
      <c r="K604" s="0"/>
      <c r="L604" s="0"/>
      <c r="U604" s="0"/>
      <c r="V604" s="0"/>
      <c r="W604" s="0"/>
      <c r="X604" s="0"/>
      <c r="Y604" s="0"/>
    </row>
    <row r="605" customFormat="false" ht="12.8" hidden="false" customHeight="false" outlineLevel="0" collapsed="false">
      <c r="G605" s="25" t="n">
        <v>44820</v>
      </c>
      <c r="H605" s="52" t="s">
        <v>14</v>
      </c>
      <c r="I605" s="5" t="n">
        <v>348</v>
      </c>
      <c r="J605" s="0" t="s">
        <v>57</v>
      </c>
      <c r="K605" s="0"/>
      <c r="L605" s="0"/>
      <c r="U605" s="0"/>
      <c r="V605" s="0"/>
      <c r="W605" s="0"/>
      <c r="X605" s="0"/>
      <c r="Y605" s="0"/>
    </row>
    <row r="606" customFormat="false" ht="12.8" hidden="false" customHeight="false" outlineLevel="0" collapsed="false">
      <c r="G606" s="25" t="n">
        <v>44820</v>
      </c>
      <c r="H606" s="43" t="s">
        <v>23</v>
      </c>
      <c r="I606" s="5" t="n">
        <v>-472.62</v>
      </c>
      <c r="J606" s="10" t="s">
        <v>52</v>
      </c>
      <c r="K606" s="5"/>
      <c r="L606" s="0"/>
      <c r="U606" s="0"/>
      <c r="V606" s="0"/>
      <c r="W606" s="0"/>
      <c r="X606" s="0"/>
      <c r="Y606" s="0"/>
    </row>
    <row r="607" customFormat="false" ht="12.8" hidden="false" customHeight="false" outlineLevel="0" collapsed="false">
      <c r="G607" s="25" t="n">
        <v>44820</v>
      </c>
      <c r="H607" s="43" t="s">
        <v>23</v>
      </c>
      <c r="I607" s="5" t="n">
        <f aca="false">-38.6-8.69</f>
        <v>-47.29</v>
      </c>
      <c r="J607" s="10" t="s">
        <v>37</v>
      </c>
      <c r="K607" s="5"/>
      <c r="L607" s="0"/>
      <c r="U607" s="0"/>
      <c r="V607" s="0"/>
      <c r="W607" s="0"/>
      <c r="X607" s="0"/>
      <c r="Y607" s="0"/>
    </row>
    <row r="608" customFormat="false" ht="12.8" hidden="false" customHeight="false" outlineLevel="0" collapsed="false">
      <c r="G608" s="25" t="n">
        <v>44821</v>
      </c>
      <c r="H608" s="43" t="s">
        <v>23</v>
      </c>
      <c r="I608" s="5" t="n">
        <v>-78.78</v>
      </c>
      <c r="J608" s="10" t="s">
        <v>37</v>
      </c>
      <c r="K608" s="0"/>
      <c r="L608" s="0"/>
      <c r="U608" s="0"/>
      <c r="V608" s="0"/>
      <c r="W608" s="0"/>
      <c r="X608" s="0"/>
      <c r="Y608" s="0"/>
    </row>
    <row r="609" customFormat="false" ht="12.8" hidden="false" customHeight="false" outlineLevel="0" collapsed="false">
      <c r="G609" s="25" t="n">
        <v>44821</v>
      </c>
      <c r="H609" s="43" t="s">
        <v>23</v>
      </c>
      <c r="I609" s="5" t="n">
        <v>-40.68</v>
      </c>
      <c r="J609" s="10" t="s">
        <v>37</v>
      </c>
      <c r="K609" s="0"/>
      <c r="L609" s="0"/>
      <c r="U609" s="0"/>
      <c r="V609" s="0"/>
      <c r="W609" s="0"/>
      <c r="X609" s="0"/>
      <c r="Y609" s="0"/>
    </row>
    <row r="610" customFormat="false" ht="12.8" hidden="false" customHeight="false" outlineLevel="0" collapsed="false">
      <c r="G610" s="25" t="n">
        <v>44822</v>
      </c>
      <c r="H610" s="43" t="s">
        <v>23</v>
      </c>
      <c r="I610" s="5" t="n">
        <f aca="false">-63.29-5.82</f>
        <v>-69.11</v>
      </c>
      <c r="J610" s="10" t="s">
        <v>37</v>
      </c>
      <c r="K610" s="0"/>
      <c r="L610" s="0"/>
      <c r="U610" s="0"/>
      <c r="V610" s="0"/>
      <c r="W610" s="0"/>
      <c r="X610" s="0"/>
      <c r="Y610" s="0"/>
    </row>
    <row r="611" customFormat="false" ht="12.8" hidden="false" customHeight="false" outlineLevel="0" collapsed="false">
      <c r="G611" s="25" t="n">
        <v>44823</v>
      </c>
      <c r="H611" s="43" t="s">
        <v>23</v>
      </c>
      <c r="I611" s="5" t="n">
        <v>-40.18</v>
      </c>
      <c r="J611" s="10" t="s">
        <v>37</v>
      </c>
      <c r="K611" s="0"/>
      <c r="L611" s="0"/>
      <c r="U611" s="0"/>
      <c r="V611" s="0"/>
      <c r="W611" s="0"/>
      <c r="X611" s="0"/>
      <c r="Y611" s="0"/>
    </row>
    <row r="612" customFormat="false" ht="12.8" hidden="false" customHeight="false" outlineLevel="0" collapsed="false">
      <c r="G612" s="25" t="n">
        <v>44823</v>
      </c>
      <c r="H612" s="43" t="s">
        <v>23</v>
      </c>
      <c r="I612" s="5" t="n">
        <v>-29.27</v>
      </c>
      <c r="J612" s="10" t="s">
        <v>37</v>
      </c>
      <c r="K612" s="0"/>
      <c r="L612" s="0"/>
      <c r="U612" s="0"/>
      <c r="V612" s="0"/>
      <c r="W612" s="0"/>
      <c r="X612" s="0"/>
      <c r="Y612" s="0"/>
    </row>
    <row r="613" customFormat="false" ht="12.8" hidden="false" customHeight="false" outlineLevel="0" collapsed="false">
      <c r="G613" s="25" t="n">
        <v>44823</v>
      </c>
      <c r="H613" s="43" t="s">
        <v>23</v>
      </c>
      <c r="I613" s="5" t="n">
        <v>-40</v>
      </c>
      <c r="J613" s="10" t="s">
        <v>46</v>
      </c>
      <c r="K613" s="0"/>
      <c r="L613" s="0"/>
      <c r="U613" s="0"/>
      <c r="V613" s="0"/>
      <c r="W613" s="0"/>
      <c r="X613" s="0"/>
      <c r="Y613" s="0"/>
    </row>
    <row r="614" customFormat="false" ht="12.8" hidden="false" customHeight="false" outlineLevel="0" collapsed="false">
      <c r="G614" s="25" t="n">
        <v>44824</v>
      </c>
      <c r="H614" s="43" t="s">
        <v>23</v>
      </c>
      <c r="I614" s="5" t="n">
        <v>-63.37</v>
      </c>
      <c r="J614" s="10" t="s">
        <v>37</v>
      </c>
      <c r="K614" s="0"/>
      <c r="L614" s="0"/>
      <c r="U614" s="0"/>
      <c r="V614" s="0"/>
      <c r="W614" s="0"/>
      <c r="X614" s="0"/>
      <c r="Y614" s="0"/>
    </row>
    <row r="615" customFormat="false" ht="12.8" hidden="false" customHeight="false" outlineLevel="0" collapsed="false">
      <c r="G615" s="25" t="n">
        <v>44825</v>
      </c>
      <c r="H615" s="43" t="s">
        <v>23</v>
      </c>
      <c r="I615" s="5" t="n">
        <v>-84.97</v>
      </c>
      <c r="J615" s="0" t="s">
        <v>53</v>
      </c>
      <c r="K615" s="0"/>
      <c r="L615" s="0"/>
      <c r="U615" s="0"/>
      <c r="V615" s="0"/>
      <c r="W615" s="0"/>
      <c r="X615" s="0"/>
      <c r="Y615" s="0"/>
    </row>
    <row r="616" customFormat="false" ht="12.8" hidden="false" customHeight="false" outlineLevel="0" collapsed="false">
      <c r="G616" s="25" t="n">
        <v>44825</v>
      </c>
      <c r="H616" s="43" t="s">
        <v>23</v>
      </c>
      <c r="I616" s="5" t="n">
        <v>-76.87</v>
      </c>
      <c r="J616" s="10" t="s">
        <v>37</v>
      </c>
      <c r="K616" s="0"/>
      <c r="L616" s="0"/>
      <c r="U616" s="0"/>
      <c r="V616" s="0"/>
      <c r="W616" s="0"/>
      <c r="X616" s="0"/>
      <c r="Y616" s="0"/>
    </row>
    <row r="617" customFormat="false" ht="12.8" hidden="false" customHeight="false" outlineLevel="0" collapsed="false">
      <c r="G617" s="25" t="n">
        <v>44825</v>
      </c>
      <c r="H617" s="48" t="s">
        <v>26</v>
      </c>
      <c r="I617" s="5" t="n">
        <v>4500</v>
      </c>
      <c r="J617" s="0" t="s">
        <v>86</v>
      </c>
      <c r="K617" s="0"/>
      <c r="L617" s="0"/>
      <c r="U617" s="0"/>
      <c r="V617" s="0"/>
      <c r="W617" s="0"/>
      <c r="X617" s="0"/>
      <c r="Y617" s="0"/>
    </row>
    <row r="618" customFormat="false" ht="12.8" hidden="false" customHeight="false" outlineLevel="0" collapsed="false">
      <c r="G618" s="25" t="n">
        <v>44825</v>
      </c>
      <c r="H618" s="48" t="s">
        <v>26</v>
      </c>
      <c r="I618" s="5" t="n">
        <v>-4500</v>
      </c>
      <c r="J618" s="0" t="s">
        <v>87</v>
      </c>
      <c r="K618" s="0"/>
      <c r="L618" s="0"/>
      <c r="U618" s="0"/>
      <c r="V618" s="0"/>
      <c r="W618" s="0"/>
      <c r="X618" s="0"/>
      <c r="Y618" s="0"/>
    </row>
    <row r="619" customFormat="false" ht="12.8" hidden="false" customHeight="false" outlineLevel="0" collapsed="false">
      <c r="G619" s="25" t="n">
        <v>44825</v>
      </c>
      <c r="H619" s="52" t="s">
        <v>14</v>
      </c>
      <c r="I619" s="5" t="n">
        <v>4500</v>
      </c>
      <c r="J619" s="0" t="s">
        <v>87</v>
      </c>
      <c r="K619" s="0"/>
      <c r="L619" s="0"/>
      <c r="U619" s="0"/>
      <c r="V619" s="0"/>
      <c r="W619" s="0"/>
      <c r="X619" s="0"/>
      <c r="Y619" s="0"/>
    </row>
    <row r="620" customFormat="false" ht="12.8" hidden="false" customHeight="false" outlineLevel="0" collapsed="false">
      <c r="G620" s="25" t="n">
        <v>44825</v>
      </c>
      <c r="H620" s="52" t="s">
        <v>14</v>
      </c>
      <c r="I620" s="5" t="n">
        <v>0.05</v>
      </c>
      <c r="J620" s="0" t="s">
        <v>40</v>
      </c>
      <c r="K620" s="0"/>
      <c r="L620" s="0"/>
      <c r="U620" s="0"/>
      <c r="V620" s="0"/>
      <c r="W620" s="0"/>
      <c r="X620" s="0"/>
      <c r="Y620" s="0"/>
    </row>
    <row r="621" customFormat="false" ht="12.8" hidden="false" customHeight="false" outlineLevel="0" collapsed="false">
      <c r="G621" s="25" t="n">
        <v>44826</v>
      </c>
      <c r="H621" s="43" t="s">
        <v>23</v>
      </c>
      <c r="I621" s="5" t="n">
        <v>-74.37</v>
      </c>
      <c r="J621" s="10" t="s">
        <v>37</v>
      </c>
      <c r="K621" s="0"/>
      <c r="L621" s="0"/>
      <c r="U621" s="0"/>
      <c r="V621" s="0"/>
      <c r="W621" s="0"/>
      <c r="X621" s="0"/>
      <c r="Y621" s="0"/>
    </row>
    <row r="622" customFormat="false" ht="12.8" hidden="false" customHeight="false" outlineLevel="0" collapsed="false">
      <c r="G622" s="25" t="n">
        <v>44827</v>
      </c>
      <c r="H622" s="43" t="s">
        <v>23</v>
      </c>
      <c r="I622" s="5" t="n">
        <v>-70.67</v>
      </c>
      <c r="J622" s="10" t="s">
        <v>37</v>
      </c>
      <c r="K622" s="0"/>
      <c r="L622" s="0"/>
      <c r="U622" s="0"/>
      <c r="V622" s="0"/>
      <c r="W622" s="0"/>
      <c r="X622" s="0"/>
      <c r="Y622" s="0"/>
    </row>
    <row r="623" customFormat="false" ht="12.8" hidden="false" customHeight="false" outlineLevel="0" collapsed="false">
      <c r="G623" s="25" t="n">
        <v>44827</v>
      </c>
      <c r="H623" s="43" t="s">
        <v>23</v>
      </c>
      <c r="I623" s="5" t="n">
        <v>-30.27</v>
      </c>
      <c r="J623" s="10" t="s">
        <v>37</v>
      </c>
      <c r="K623" s="0"/>
      <c r="L623" s="0"/>
      <c r="U623" s="0"/>
      <c r="V623" s="0"/>
      <c r="W623" s="0"/>
      <c r="X623" s="0"/>
      <c r="Y623" s="0"/>
    </row>
    <row r="624" customFormat="false" ht="12.8" hidden="false" customHeight="false" outlineLevel="0" collapsed="false">
      <c r="G624" s="25" t="n">
        <v>44827</v>
      </c>
      <c r="H624" s="26" t="s">
        <v>10</v>
      </c>
      <c r="I624" s="5" t="n">
        <v>-150</v>
      </c>
      <c r="J624" s="54" t="s">
        <v>88</v>
      </c>
      <c r="K624" s="55"/>
      <c r="L624" s="0"/>
      <c r="U624" s="0"/>
      <c r="V624" s="0"/>
      <c r="W624" s="0"/>
      <c r="X624" s="0"/>
      <c r="Y624" s="0"/>
    </row>
    <row r="625" customFormat="false" ht="12.8" hidden="false" customHeight="false" outlineLevel="0" collapsed="false">
      <c r="G625" s="25" t="n">
        <v>44827</v>
      </c>
      <c r="H625" s="32" t="s">
        <v>15</v>
      </c>
      <c r="I625" s="5" t="n">
        <v>150</v>
      </c>
      <c r="J625" s="54" t="s">
        <v>88</v>
      </c>
      <c r="K625" s="0"/>
      <c r="L625" s="0"/>
      <c r="U625" s="0"/>
      <c r="V625" s="0"/>
      <c r="W625" s="0"/>
      <c r="X625" s="0"/>
      <c r="Y625" s="0"/>
    </row>
    <row r="626" customFormat="false" ht="12.8" hidden="false" customHeight="false" outlineLevel="0" collapsed="false">
      <c r="G626" s="25" t="n">
        <v>44828</v>
      </c>
      <c r="H626" s="43" t="s">
        <v>23</v>
      </c>
      <c r="I626" s="5" t="n">
        <f aca="false">-68.85-3.98</f>
        <v>-72.83</v>
      </c>
      <c r="J626" s="10" t="s">
        <v>37</v>
      </c>
      <c r="K626" s="0"/>
      <c r="L626" s="0"/>
      <c r="U626" s="0"/>
      <c r="V626" s="0"/>
      <c r="W626" s="0"/>
      <c r="X626" s="0"/>
      <c r="Y626" s="0"/>
    </row>
    <row r="627" customFormat="false" ht="12.8" hidden="false" customHeight="false" outlineLevel="0" collapsed="false">
      <c r="G627" s="25" t="n">
        <v>44828</v>
      </c>
      <c r="H627" s="43" t="s">
        <v>23</v>
      </c>
      <c r="I627" s="5" t="n">
        <v>-28.16</v>
      </c>
      <c r="J627" s="10" t="s">
        <v>37</v>
      </c>
      <c r="K627" s="0"/>
      <c r="L627" s="0"/>
      <c r="U627" s="0"/>
      <c r="V627" s="0"/>
      <c r="W627" s="0"/>
      <c r="X627" s="0"/>
      <c r="Y627" s="0"/>
    </row>
    <row r="628" customFormat="false" ht="12.8" hidden="false" customHeight="false" outlineLevel="0" collapsed="false">
      <c r="G628" s="25" t="n">
        <v>44829</v>
      </c>
      <c r="H628" s="32" t="s">
        <v>15</v>
      </c>
      <c r="I628" s="5" t="n">
        <v>-150</v>
      </c>
      <c r="J628" s="10" t="s">
        <v>55</v>
      </c>
      <c r="K628" s="0"/>
      <c r="L628" s="0"/>
      <c r="U628" s="0"/>
      <c r="V628" s="0"/>
      <c r="W628" s="0"/>
      <c r="X628" s="0"/>
      <c r="Y628" s="0"/>
    </row>
    <row r="629" customFormat="false" ht="12.8" hidden="false" customHeight="false" outlineLevel="0" collapsed="false">
      <c r="G629" s="25" t="n">
        <v>44829</v>
      </c>
      <c r="H629" s="43" t="s">
        <v>23</v>
      </c>
      <c r="I629" s="5" t="n">
        <v>-75.86</v>
      </c>
      <c r="J629" s="10" t="s">
        <v>37</v>
      </c>
      <c r="K629" s="0"/>
      <c r="L629" s="0"/>
      <c r="U629" s="0"/>
      <c r="V629" s="0"/>
      <c r="W629" s="0"/>
      <c r="X629" s="0"/>
      <c r="Y629" s="0"/>
    </row>
    <row r="630" customFormat="false" ht="12.8" hidden="false" customHeight="false" outlineLevel="0" collapsed="false">
      <c r="G630" s="25" t="n">
        <v>44830</v>
      </c>
      <c r="H630" s="43" t="s">
        <v>23</v>
      </c>
      <c r="I630" s="5" t="n">
        <v>-65.29</v>
      </c>
      <c r="J630" s="10" t="s">
        <v>37</v>
      </c>
      <c r="K630" s="0"/>
      <c r="L630" s="0"/>
      <c r="U630" s="0"/>
      <c r="V630" s="0"/>
      <c r="W630" s="0"/>
      <c r="X630" s="0"/>
      <c r="Y630" s="0"/>
    </row>
    <row r="631" customFormat="false" ht="12.8" hidden="false" customHeight="false" outlineLevel="0" collapsed="false">
      <c r="G631" s="25" t="n">
        <v>44830</v>
      </c>
      <c r="H631" s="52" t="s">
        <v>14</v>
      </c>
      <c r="I631" s="5" t="n">
        <v>-65</v>
      </c>
      <c r="J631" s="10" t="s">
        <v>66</v>
      </c>
      <c r="K631" s="0"/>
      <c r="L631" s="0"/>
      <c r="U631" s="0"/>
      <c r="V631" s="0"/>
      <c r="W631" s="0"/>
      <c r="X631" s="0"/>
      <c r="Y631" s="0"/>
    </row>
    <row r="632" customFormat="false" ht="12.8" hidden="false" customHeight="false" outlineLevel="0" collapsed="false">
      <c r="G632" s="25" t="n">
        <v>44830</v>
      </c>
      <c r="H632" s="48" t="s">
        <v>26</v>
      </c>
      <c r="I632" s="5" t="n">
        <v>65</v>
      </c>
      <c r="J632" s="10" t="s">
        <v>66</v>
      </c>
      <c r="K632" s="0"/>
      <c r="L632" s="0"/>
      <c r="U632" s="0"/>
      <c r="V632" s="0"/>
      <c r="W632" s="0"/>
      <c r="X632" s="0"/>
      <c r="Y632" s="0"/>
    </row>
    <row r="633" customFormat="false" ht="12.8" hidden="false" customHeight="false" outlineLevel="0" collapsed="false">
      <c r="G633" s="25" t="n">
        <v>44830</v>
      </c>
      <c r="H633" s="52" t="s">
        <v>14</v>
      </c>
      <c r="I633" s="5" t="n">
        <v>0.4</v>
      </c>
      <c r="J633" s="10" t="s">
        <v>40</v>
      </c>
      <c r="K633" s="0"/>
      <c r="L633" s="0"/>
      <c r="U633" s="0"/>
      <c r="V633" s="0"/>
      <c r="W633" s="0"/>
      <c r="X633" s="0"/>
      <c r="Y633" s="0"/>
    </row>
    <row r="634" customFormat="false" ht="12.8" hidden="false" customHeight="false" outlineLevel="0" collapsed="false">
      <c r="G634" s="25" t="n">
        <v>44831</v>
      </c>
      <c r="H634" s="43" t="s">
        <v>23</v>
      </c>
      <c r="I634" s="5" t="n">
        <v>-66.92</v>
      </c>
      <c r="J634" s="10" t="s">
        <v>37</v>
      </c>
      <c r="K634" s="0"/>
      <c r="L634" s="0"/>
      <c r="U634" s="0"/>
      <c r="V634" s="0"/>
      <c r="W634" s="0"/>
      <c r="X634" s="0"/>
      <c r="Y634" s="0"/>
    </row>
    <row r="635" customFormat="false" ht="12.8" hidden="false" customHeight="false" outlineLevel="0" collapsed="false">
      <c r="G635" s="25" t="n">
        <v>44831</v>
      </c>
      <c r="H635" s="43" t="s">
        <v>23</v>
      </c>
      <c r="I635" s="5" t="n">
        <v>-19.13</v>
      </c>
      <c r="J635" s="10" t="s">
        <v>37</v>
      </c>
      <c r="K635" s="0"/>
      <c r="L635" s="0"/>
      <c r="U635" s="0"/>
      <c r="V635" s="0"/>
      <c r="W635" s="0"/>
      <c r="X635" s="0"/>
      <c r="Y635" s="0"/>
    </row>
    <row r="636" customFormat="false" ht="12.8" hidden="false" customHeight="false" outlineLevel="0" collapsed="false">
      <c r="G636" s="25" t="n">
        <v>44832</v>
      </c>
      <c r="H636" s="48" t="s">
        <v>26</v>
      </c>
      <c r="I636" s="5" t="n">
        <v>-50</v>
      </c>
      <c r="J636" s="10" t="s">
        <v>89</v>
      </c>
      <c r="K636" s="0"/>
      <c r="L636" s="0"/>
      <c r="U636" s="0"/>
      <c r="V636" s="0"/>
      <c r="W636" s="0"/>
      <c r="X636" s="0"/>
      <c r="Y636" s="0"/>
    </row>
    <row r="637" customFormat="false" ht="12.8" hidden="false" customHeight="false" outlineLevel="0" collapsed="false">
      <c r="G637" s="25" t="n">
        <v>44832</v>
      </c>
      <c r="H637" s="52" t="s">
        <v>14</v>
      </c>
      <c r="I637" s="5" t="n">
        <v>50</v>
      </c>
      <c r="J637" s="10" t="s">
        <v>89</v>
      </c>
      <c r="K637" s="0"/>
      <c r="L637" s="0"/>
      <c r="U637" s="0"/>
      <c r="V637" s="0"/>
      <c r="W637" s="0"/>
      <c r="X637" s="0"/>
      <c r="Y637" s="0"/>
    </row>
    <row r="638" customFormat="false" ht="12.8" hidden="false" customHeight="false" outlineLevel="0" collapsed="false">
      <c r="G638" s="25" t="n">
        <v>44832</v>
      </c>
      <c r="H638" s="52" t="s">
        <v>14</v>
      </c>
      <c r="I638" s="5" t="n">
        <v>0.16</v>
      </c>
      <c r="J638" s="10" t="s">
        <v>40</v>
      </c>
      <c r="K638" s="0"/>
      <c r="L638" s="0"/>
      <c r="U638" s="0"/>
      <c r="V638" s="0"/>
      <c r="W638" s="0"/>
      <c r="X638" s="0"/>
      <c r="Y638" s="0"/>
    </row>
    <row r="639" customFormat="false" ht="12.8" hidden="false" customHeight="false" outlineLevel="0" collapsed="false">
      <c r="G639" s="25" t="n">
        <v>44832</v>
      </c>
      <c r="H639" s="43" t="s">
        <v>23</v>
      </c>
      <c r="I639" s="5" t="n">
        <v>-64.77</v>
      </c>
      <c r="J639" s="10" t="s">
        <v>37</v>
      </c>
      <c r="K639" s="0"/>
      <c r="L639" s="0"/>
      <c r="U639" s="0"/>
      <c r="V639" s="0"/>
      <c r="W639" s="0"/>
      <c r="X639" s="0"/>
      <c r="Y639" s="0"/>
    </row>
    <row r="640" customFormat="false" ht="12.8" hidden="false" customHeight="false" outlineLevel="0" collapsed="false">
      <c r="G640" s="25" t="n">
        <v>44833</v>
      </c>
      <c r="H640" s="43" t="s">
        <v>23</v>
      </c>
      <c r="I640" s="5" t="n">
        <f aca="false">-62.17-1.99</f>
        <v>-64.16</v>
      </c>
      <c r="J640" s="10" t="s">
        <v>37</v>
      </c>
      <c r="K640" s="0"/>
      <c r="L640" s="0"/>
      <c r="U640" s="0"/>
      <c r="V640" s="0"/>
      <c r="W640" s="0"/>
      <c r="X640" s="0"/>
      <c r="Y640" s="0"/>
    </row>
    <row r="641" customFormat="false" ht="12.8" hidden="false" customHeight="false" outlineLevel="0" collapsed="false">
      <c r="G641" s="25" t="n">
        <v>44833</v>
      </c>
      <c r="H641" s="43" t="s">
        <v>23</v>
      </c>
      <c r="I641" s="5" t="n">
        <v>250</v>
      </c>
      <c r="J641" s="10" t="s">
        <v>72</v>
      </c>
      <c r="K641" s="0"/>
      <c r="L641" s="0"/>
      <c r="U641" s="0"/>
      <c r="V641" s="0"/>
      <c r="W641" s="0"/>
      <c r="X641" s="0"/>
      <c r="Y641" s="0"/>
    </row>
    <row r="642" customFormat="false" ht="12.8" hidden="false" customHeight="false" outlineLevel="0" collapsed="false">
      <c r="G642" s="25" t="n">
        <v>44833</v>
      </c>
      <c r="H642" s="43" t="s">
        <v>23</v>
      </c>
      <c r="I642" s="5" t="n">
        <v>-5</v>
      </c>
      <c r="J642" s="10" t="s">
        <v>43</v>
      </c>
      <c r="K642" s="0"/>
      <c r="L642" s="0"/>
      <c r="U642" s="0"/>
      <c r="V642" s="0"/>
      <c r="W642" s="0"/>
      <c r="X642" s="0"/>
      <c r="Y642" s="0"/>
    </row>
    <row r="643" customFormat="false" ht="12.8" hidden="false" customHeight="false" outlineLevel="0" collapsed="false">
      <c r="G643" s="25" t="n">
        <v>44833</v>
      </c>
      <c r="H643" s="26" t="s">
        <v>10</v>
      </c>
      <c r="I643" s="5" t="n">
        <v>-200</v>
      </c>
      <c r="J643" s="54" t="s">
        <v>38</v>
      </c>
      <c r="K643" s="0"/>
      <c r="L643" s="0"/>
      <c r="U643" s="0"/>
      <c r="V643" s="0"/>
      <c r="W643" s="0"/>
      <c r="X643" s="0"/>
      <c r="Y643" s="0"/>
    </row>
    <row r="644" customFormat="false" ht="12.8" hidden="false" customHeight="false" outlineLevel="0" collapsed="false">
      <c r="G644" s="25" t="n">
        <v>44833</v>
      </c>
      <c r="H644" s="32" t="s">
        <v>15</v>
      </c>
      <c r="I644" s="5" t="n">
        <v>200</v>
      </c>
      <c r="J644" s="54" t="s">
        <v>38</v>
      </c>
      <c r="K644" s="0"/>
      <c r="L644" s="0"/>
      <c r="U644" s="0"/>
      <c r="V644" s="0"/>
      <c r="W644" s="0"/>
      <c r="X644" s="0"/>
      <c r="Y644" s="0"/>
    </row>
    <row r="645" customFormat="false" ht="12.8" hidden="false" customHeight="false" outlineLevel="0" collapsed="false">
      <c r="F645" s="58"/>
      <c r="G645" s="25" t="n">
        <v>44833</v>
      </c>
      <c r="H645" s="32" t="s">
        <v>15</v>
      </c>
      <c r="I645" s="5" t="n">
        <v>-200</v>
      </c>
      <c r="J645" s="54" t="s">
        <v>37</v>
      </c>
      <c r="K645" s="0"/>
      <c r="L645" s="0"/>
      <c r="U645" s="0"/>
      <c r="V645" s="0"/>
      <c r="W645" s="0"/>
      <c r="X645" s="0"/>
      <c r="Y645" s="0"/>
    </row>
    <row r="646" customFormat="false" ht="12.8" hidden="false" customHeight="false" outlineLevel="0" collapsed="false">
      <c r="F646" s="59"/>
      <c r="G646" s="25" t="n">
        <v>44834</v>
      </c>
      <c r="H646" s="48" t="s">
        <v>26</v>
      </c>
      <c r="I646" s="5" t="n">
        <v>200</v>
      </c>
      <c r="J646" s="0" t="s">
        <v>38</v>
      </c>
      <c r="K646" s="0"/>
      <c r="L646" s="0"/>
      <c r="U646" s="0"/>
      <c r="V646" s="0"/>
      <c r="W646" s="0"/>
      <c r="X646" s="0"/>
      <c r="Y646" s="0"/>
    </row>
    <row r="647" customFormat="false" ht="12.8" hidden="false" customHeight="false" outlineLevel="0" collapsed="false">
      <c r="G647" s="25" t="n">
        <v>44834</v>
      </c>
      <c r="H647" s="43" t="s">
        <v>23</v>
      </c>
      <c r="I647" s="5" t="n">
        <v>-68.86</v>
      </c>
      <c r="J647" s="10" t="s">
        <v>37</v>
      </c>
      <c r="K647" s="0"/>
      <c r="L647" s="0"/>
      <c r="U647" s="0"/>
      <c r="V647" s="0"/>
      <c r="W647" s="0"/>
      <c r="X647" s="0"/>
      <c r="Y647" s="0"/>
    </row>
    <row r="648" customFormat="false" ht="12.8" hidden="false" customHeight="false" outlineLevel="0" collapsed="false">
      <c r="G648" s="25" t="n">
        <v>44834</v>
      </c>
      <c r="H648" s="48" t="s">
        <v>26</v>
      </c>
      <c r="I648" s="5" t="n">
        <v>-200</v>
      </c>
      <c r="J648" s="0" t="s">
        <v>57</v>
      </c>
      <c r="K648" s="0"/>
      <c r="L648" s="0"/>
      <c r="U648" s="0"/>
      <c r="V648" s="0"/>
      <c r="W648" s="0"/>
      <c r="X648" s="0"/>
      <c r="Y648" s="0"/>
    </row>
    <row r="649" customFormat="false" ht="12.8" hidden="false" customHeight="false" outlineLevel="0" collapsed="false">
      <c r="G649" s="25" t="n">
        <v>44834</v>
      </c>
      <c r="H649" s="52" t="s">
        <v>14</v>
      </c>
      <c r="I649" s="5" t="n">
        <v>200</v>
      </c>
      <c r="J649" s="0" t="s">
        <v>57</v>
      </c>
      <c r="K649" s="0"/>
      <c r="L649" s="0"/>
      <c r="U649" s="0"/>
      <c r="V649" s="0"/>
      <c r="W649" s="0"/>
      <c r="X649" s="0"/>
      <c r="Y649" s="0"/>
    </row>
    <row r="650" customFormat="false" ht="12.8" hidden="false" customHeight="false" outlineLevel="0" collapsed="false">
      <c r="G650" s="25" t="n">
        <v>44834</v>
      </c>
      <c r="H650" s="52" t="s">
        <v>14</v>
      </c>
      <c r="I650" s="5" t="n">
        <v>0.16</v>
      </c>
      <c r="J650" s="0" t="s">
        <v>40</v>
      </c>
      <c r="K650" s="0"/>
      <c r="L650" s="0"/>
      <c r="U650" s="0"/>
      <c r="V650" s="0"/>
      <c r="W650" s="0"/>
      <c r="X650" s="0"/>
      <c r="Y650" s="0"/>
    </row>
    <row r="651" customFormat="false" ht="12.8" hidden="false" customHeight="false" outlineLevel="0" collapsed="false">
      <c r="G651" s="25" t="n">
        <v>44834</v>
      </c>
      <c r="H651" s="48" t="s">
        <v>26</v>
      </c>
      <c r="I651" s="5" t="n">
        <v>-5</v>
      </c>
      <c r="J651" s="55" t="s">
        <v>61</v>
      </c>
      <c r="K651" s="0"/>
      <c r="L651" s="0"/>
      <c r="U651" s="0"/>
      <c r="V651" s="0"/>
      <c r="W651" s="0"/>
      <c r="X651" s="0"/>
      <c r="Y651" s="0"/>
    </row>
    <row r="652" customFormat="false" ht="12.8" hidden="false" customHeight="false" outlineLevel="0" collapsed="false">
      <c r="G652" s="25" t="n">
        <v>44834</v>
      </c>
      <c r="H652" s="43" t="s">
        <v>23</v>
      </c>
      <c r="I652" s="5" t="n">
        <v>-5</v>
      </c>
      <c r="J652" s="0" t="s">
        <v>90</v>
      </c>
      <c r="K652" s="0"/>
      <c r="L652" s="0"/>
      <c r="U652" s="0"/>
      <c r="V652" s="0"/>
      <c r="W652" s="0"/>
      <c r="X652" s="0"/>
      <c r="Y652" s="0"/>
    </row>
    <row r="653" customFormat="false" ht="12.8" hidden="false" customHeight="false" outlineLevel="0" collapsed="false">
      <c r="G653" s="25" t="n">
        <v>44834</v>
      </c>
      <c r="H653" s="26" t="s">
        <v>10</v>
      </c>
      <c r="I653" s="5" t="n">
        <v>1.46</v>
      </c>
      <c r="J653" s="0" t="s">
        <v>40</v>
      </c>
      <c r="K653" s="0"/>
      <c r="L653" s="0"/>
      <c r="U653" s="0"/>
      <c r="V653" s="0"/>
      <c r="W653" s="0"/>
      <c r="X653" s="0"/>
      <c r="Y653" s="0"/>
    </row>
    <row r="654" customFormat="false" ht="12.8" hidden="false" customHeight="false" outlineLevel="0" collapsed="false">
      <c r="G654" s="25" t="n">
        <v>44835</v>
      </c>
      <c r="H654" s="43" t="s">
        <v>23</v>
      </c>
      <c r="I654" s="5" t="n">
        <v>-67.35</v>
      </c>
      <c r="J654" s="10" t="s">
        <v>37</v>
      </c>
      <c r="K654" s="0"/>
      <c r="L654" s="0"/>
      <c r="U654" s="0"/>
      <c r="V654" s="0"/>
      <c r="W654" s="0"/>
      <c r="X654" s="0"/>
      <c r="Y654" s="0"/>
    </row>
    <row r="655" customFormat="false" ht="12.8" hidden="false" customHeight="false" outlineLevel="0" collapsed="false">
      <c r="G655" s="25" t="n">
        <v>44836</v>
      </c>
      <c r="H655" s="43" t="s">
        <v>23</v>
      </c>
      <c r="I655" s="5" t="n">
        <v>-55.5</v>
      </c>
      <c r="J655" s="10" t="s">
        <v>37</v>
      </c>
      <c r="K655" s="0"/>
      <c r="L655" s="0"/>
      <c r="U655" s="0"/>
      <c r="V655" s="0"/>
      <c r="W655" s="0"/>
      <c r="X655" s="0"/>
      <c r="Y655" s="0"/>
    </row>
    <row r="656" customFormat="false" ht="12.8" hidden="false" customHeight="false" outlineLevel="0" collapsed="false">
      <c r="G656" s="25" t="n">
        <v>44837</v>
      </c>
      <c r="H656" s="52" t="s">
        <v>14</v>
      </c>
      <c r="I656" s="5" t="n">
        <v>-2003</v>
      </c>
      <c r="J656" s="10" t="s">
        <v>91</v>
      </c>
      <c r="K656" s="0"/>
      <c r="L656" s="0"/>
      <c r="U656" s="0"/>
      <c r="V656" s="0"/>
      <c r="W656" s="0"/>
      <c r="X656" s="0"/>
      <c r="Y656" s="0"/>
    </row>
    <row r="657" customFormat="false" ht="12.8" hidden="false" customHeight="false" outlineLevel="0" collapsed="false">
      <c r="G657" s="25" t="n">
        <v>44837</v>
      </c>
      <c r="H657" s="48" t="s">
        <v>26</v>
      </c>
      <c r="I657" s="5" t="n">
        <v>2003</v>
      </c>
      <c r="J657" s="10" t="s">
        <v>91</v>
      </c>
      <c r="K657" s="0"/>
      <c r="L657" s="0"/>
      <c r="U657" s="0"/>
      <c r="V657" s="0"/>
      <c r="W657" s="0"/>
      <c r="X657" s="0"/>
      <c r="Y657" s="0"/>
    </row>
    <row r="658" customFormat="false" ht="12.8" hidden="false" customHeight="false" outlineLevel="0" collapsed="false">
      <c r="G658" s="25" t="n">
        <v>44837</v>
      </c>
      <c r="H658" s="48" t="s">
        <v>26</v>
      </c>
      <c r="I658" s="5" t="n">
        <v>-2000</v>
      </c>
      <c r="J658" s="10" t="s">
        <v>91</v>
      </c>
      <c r="K658" s="0"/>
      <c r="L658" s="0"/>
      <c r="U658" s="0"/>
      <c r="V658" s="0"/>
      <c r="W658" s="0"/>
      <c r="X658" s="0"/>
      <c r="Y658" s="0"/>
    </row>
    <row r="659" customFormat="false" ht="12.8" hidden="false" customHeight="false" outlineLevel="0" collapsed="false">
      <c r="G659" s="25" t="n">
        <v>44837</v>
      </c>
      <c r="H659" s="48" t="s">
        <v>26</v>
      </c>
      <c r="I659" s="5" t="n">
        <v>-3</v>
      </c>
      <c r="J659" s="0" t="s">
        <v>92</v>
      </c>
      <c r="K659" s="0"/>
      <c r="L659" s="0"/>
      <c r="U659" s="0"/>
      <c r="V659" s="0"/>
      <c r="W659" s="0"/>
      <c r="X659" s="0"/>
      <c r="Y659" s="0"/>
    </row>
    <row r="660" customFormat="false" ht="12.8" hidden="false" customHeight="false" outlineLevel="0" collapsed="false">
      <c r="G660" s="25" t="n">
        <v>44837</v>
      </c>
      <c r="H660" s="32" t="s">
        <v>15</v>
      </c>
      <c r="I660" s="5" t="n">
        <v>2000</v>
      </c>
      <c r="J660" s="10" t="s">
        <v>91</v>
      </c>
      <c r="K660" s="0"/>
      <c r="L660" s="0"/>
      <c r="U660" s="0"/>
      <c r="V660" s="0"/>
      <c r="W660" s="0"/>
      <c r="X660" s="0"/>
      <c r="Y660" s="0"/>
    </row>
    <row r="661" customFormat="false" ht="12.8" hidden="false" customHeight="false" outlineLevel="0" collapsed="false">
      <c r="G661" s="25" t="n">
        <v>44837</v>
      </c>
      <c r="H661" s="48" t="s">
        <v>26</v>
      </c>
      <c r="I661" s="5" t="n">
        <v>-10</v>
      </c>
      <c r="J661" s="55" t="s">
        <v>93</v>
      </c>
      <c r="K661" s="0"/>
      <c r="L661" s="0"/>
      <c r="U661" s="0"/>
      <c r="V661" s="0"/>
      <c r="W661" s="0"/>
      <c r="X661" s="0"/>
      <c r="Y661" s="0"/>
    </row>
    <row r="662" customFormat="false" ht="12.8" hidden="false" customHeight="false" outlineLevel="0" collapsed="false">
      <c r="G662" s="25" t="n">
        <v>44837</v>
      </c>
      <c r="H662" s="52" t="s">
        <v>14</v>
      </c>
      <c r="I662" s="5" t="n">
        <v>0.24</v>
      </c>
      <c r="J662" s="10" t="s">
        <v>40</v>
      </c>
      <c r="K662" s="0"/>
      <c r="L662" s="0"/>
      <c r="U662" s="0"/>
      <c r="V662" s="0"/>
      <c r="W662" s="0"/>
      <c r="X662" s="0"/>
      <c r="Y662" s="0"/>
    </row>
    <row r="663" customFormat="false" ht="12.8" hidden="false" customHeight="false" outlineLevel="0" collapsed="false">
      <c r="G663" s="25" t="n">
        <v>44837</v>
      </c>
      <c r="H663" s="43" t="s">
        <v>23</v>
      </c>
      <c r="I663" s="5" t="n">
        <v>-63.5</v>
      </c>
      <c r="J663" s="10" t="s">
        <v>37</v>
      </c>
      <c r="K663" s="0"/>
      <c r="L663" s="0"/>
      <c r="U663" s="0"/>
      <c r="V663" s="0"/>
      <c r="W663" s="0"/>
      <c r="X663" s="0"/>
      <c r="Y663" s="0"/>
    </row>
    <row r="664" customFormat="false" ht="12.8" hidden="false" customHeight="false" outlineLevel="0" collapsed="false">
      <c r="G664" s="25" t="n">
        <v>44837</v>
      </c>
      <c r="H664" s="32" t="s">
        <v>15</v>
      </c>
      <c r="I664" s="5" t="n">
        <v>-2000</v>
      </c>
      <c r="J664" s="54" t="s">
        <v>57</v>
      </c>
      <c r="K664" s="0"/>
      <c r="L664" s="0"/>
      <c r="U664" s="0"/>
      <c r="V664" s="0"/>
      <c r="W664" s="0"/>
      <c r="X664" s="0"/>
      <c r="Y664" s="0"/>
    </row>
    <row r="665" customFormat="false" ht="12.8" hidden="false" customHeight="false" outlineLevel="0" collapsed="false">
      <c r="G665" s="25" t="n">
        <v>44837</v>
      </c>
      <c r="H665" s="26" t="s">
        <v>10</v>
      </c>
      <c r="I665" s="5" t="n">
        <v>2000</v>
      </c>
      <c r="J665" s="54" t="s">
        <v>57</v>
      </c>
      <c r="K665" s="0"/>
      <c r="L665" s="0"/>
      <c r="U665" s="0"/>
      <c r="V665" s="0"/>
      <c r="W665" s="0"/>
      <c r="X665" s="0"/>
      <c r="Y665" s="0"/>
    </row>
    <row r="666" customFormat="false" ht="12.8" hidden="false" customHeight="false" outlineLevel="0" collapsed="false">
      <c r="G666" s="25" t="n">
        <v>44838</v>
      </c>
      <c r="H666" s="26" t="s">
        <v>10</v>
      </c>
      <c r="I666" s="5" t="n">
        <v>-75.46</v>
      </c>
      <c r="J666" s="54" t="s">
        <v>38</v>
      </c>
      <c r="K666" s="0"/>
      <c r="L666" s="0"/>
      <c r="U666" s="0"/>
      <c r="V666" s="0"/>
      <c r="W666" s="0"/>
      <c r="X666" s="0"/>
      <c r="Y666" s="0"/>
    </row>
    <row r="667" customFormat="false" ht="12.8" hidden="false" customHeight="false" outlineLevel="0" collapsed="false">
      <c r="G667" s="25" t="n">
        <v>44838</v>
      </c>
      <c r="H667" s="32" t="s">
        <v>15</v>
      </c>
      <c r="I667" s="5" t="n">
        <v>75.46</v>
      </c>
      <c r="J667" s="54" t="s">
        <v>38</v>
      </c>
      <c r="K667" s="0"/>
      <c r="L667" s="0"/>
      <c r="U667" s="0"/>
      <c r="V667" s="0"/>
      <c r="W667" s="0"/>
      <c r="X667" s="0"/>
      <c r="Y667" s="0"/>
    </row>
    <row r="668" customFormat="false" ht="12.8" hidden="false" customHeight="false" outlineLevel="0" collapsed="false">
      <c r="G668" s="25" t="n">
        <v>44838</v>
      </c>
      <c r="H668" s="32" t="s">
        <v>15</v>
      </c>
      <c r="I668" s="5" t="n">
        <v>-55.5</v>
      </c>
      <c r="J668" s="54" t="s">
        <v>37</v>
      </c>
      <c r="K668" s="0"/>
      <c r="L668" s="0"/>
      <c r="U668" s="0"/>
      <c r="V668" s="0"/>
      <c r="W668" s="0"/>
      <c r="X668" s="0"/>
      <c r="Y668" s="0"/>
    </row>
    <row r="669" customFormat="false" ht="12.8" hidden="false" customHeight="false" outlineLevel="0" collapsed="false">
      <c r="G669" s="25" t="n">
        <v>44839</v>
      </c>
      <c r="H669" s="26" t="s">
        <v>10</v>
      </c>
      <c r="I669" s="5" t="n">
        <v>-55</v>
      </c>
      <c r="J669" s="54" t="s">
        <v>38</v>
      </c>
      <c r="K669" s="5"/>
      <c r="L669" s="0"/>
      <c r="U669" s="0"/>
      <c r="V669" s="0"/>
      <c r="W669" s="0"/>
      <c r="X669" s="0"/>
      <c r="Y669" s="0"/>
    </row>
    <row r="670" customFormat="false" ht="12.8" hidden="false" customHeight="false" outlineLevel="0" collapsed="false">
      <c r="G670" s="25" t="n">
        <v>44839</v>
      </c>
      <c r="H670" s="32" t="s">
        <v>15</v>
      </c>
      <c r="I670" s="5" t="n">
        <v>55</v>
      </c>
      <c r="J670" s="54" t="s">
        <v>38</v>
      </c>
      <c r="K670" s="5"/>
      <c r="L670" s="0"/>
      <c r="U670" s="0"/>
      <c r="V670" s="0"/>
      <c r="W670" s="0"/>
      <c r="X670" s="0"/>
      <c r="Y670" s="0"/>
    </row>
    <row r="671" customFormat="false" ht="12.8" hidden="false" customHeight="false" outlineLevel="0" collapsed="false">
      <c r="G671" s="25" t="n">
        <v>44839</v>
      </c>
      <c r="H671" s="32" t="s">
        <v>15</v>
      </c>
      <c r="I671" s="5" t="n">
        <f aca="false">-38.59-6.68</f>
        <v>-45.27</v>
      </c>
      <c r="J671" s="54" t="s">
        <v>37</v>
      </c>
      <c r="K671" s="0"/>
      <c r="L671" s="0"/>
      <c r="U671" s="0"/>
      <c r="V671" s="0"/>
      <c r="W671" s="0"/>
      <c r="X671" s="0"/>
      <c r="Y671" s="0"/>
    </row>
    <row r="672" customFormat="false" ht="12.8" hidden="false" customHeight="false" outlineLevel="0" collapsed="false">
      <c r="G672" s="25" t="n">
        <v>44840</v>
      </c>
      <c r="H672" s="26" t="s">
        <v>10</v>
      </c>
      <c r="I672" s="5" t="n">
        <v>-45</v>
      </c>
      <c r="J672" s="54" t="s">
        <v>38</v>
      </c>
      <c r="K672" s="0"/>
      <c r="L672" s="0"/>
      <c r="U672" s="0"/>
      <c r="V672" s="0"/>
      <c r="W672" s="0"/>
      <c r="X672" s="0"/>
      <c r="Y672" s="0"/>
    </row>
    <row r="673" customFormat="false" ht="12.8" hidden="false" customHeight="false" outlineLevel="0" collapsed="false">
      <c r="G673" s="25" t="n">
        <v>44840</v>
      </c>
      <c r="H673" s="32" t="s">
        <v>15</v>
      </c>
      <c r="I673" s="5" t="n">
        <v>45</v>
      </c>
      <c r="J673" s="54" t="s">
        <v>38</v>
      </c>
      <c r="K673" s="0"/>
      <c r="L673" s="0"/>
      <c r="U673" s="0"/>
      <c r="V673" s="0"/>
      <c r="W673" s="0"/>
      <c r="X673" s="0"/>
      <c r="Y673" s="0"/>
    </row>
    <row r="674" customFormat="false" ht="12.8" hidden="false" customHeight="false" outlineLevel="0" collapsed="false">
      <c r="G674" s="25" t="n">
        <v>44840</v>
      </c>
      <c r="H674" s="32" t="s">
        <v>15</v>
      </c>
      <c r="I674" s="5" t="n">
        <v>-55.5</v>
      </c>
      <c r="J674" s="54" t="s">
        <v>37</v>
      </c>
      <c r="K674" s="0"/>
      <c r="L674" s="0"/>
      <c r="U674" s="0"/>
      <c r="V674" s="0"/>
      <c r="W674" s="0"/>
      <c r="X674" s="0"/>
      <c r="Y674" s="0"/>
    </row>
    <row r="675" customFormat="false" ht="12.8" hidden="false" customHeight="false" outlineLevel="0" collapsed="false">
      <c r="G675" s="25" t="n">
        <v>44841</v>
      </c>
      <c r="H675" s="26" t="s">
        <v>10</v>
      </c>
      <c r="I675" s="5" t="n">
        <v>-56</v>
      </c>
      <c r="J675" s="54" t="s">
        <v>38</v>
      </c>
      <c r="K675" s="0"/>
      <c r="L675" s="0"/>
      <c r="U675" s="0"/>
      <c r="V675" s="0"/>
      <c r="W675" s="0"/>
      <c r="X675" s="0"/>
      <c r="Y675" s="0"/>
    </row>
    <row r="676" customFormat="false" ht="12.8" hidden="false" customHeight="false" outlineLevel="0" collapsed="false">
      <c r="G676" s="25" t="n">
        <v>44841</v>
      </c>
      <c r="H676" s="32" t="s">
        <v>15</v>
      </c>
      <c r="I676" s="5" t="n">
        <v>56</v>
      </c>
      <c r="J676" s="54" t="s">
        <v>38</v>
      </c>
      <c r="K676" s="0"/>
      <c r="L676" s="0"/>
      <c r="U676" s="0"/>
      <c r="V676" s="0"/>
      <c r="W676" s="0"/>
      <c r="X676" s="0"/>
      <c r="Y676" s="0"/>
    </row>
    <row r="677" customFormat="false" ht="12.8" hidden="false" customHeight="false" outlineLevel="0" collapsed="false">
      <c r="G677" s="25" t="n">
        <v>44841</v>
      </c>
      <c r="H677" s="32" t="s">
        <v>15</v>
      </c>
      <c r="I677" s="5" t="n">
        <f aca="false">-55.5-3.98</f>
        <v>-59.48</v>
      </c>
      <c r="J677" s="54" t="s">
        <v>37</v>
      </c>
      <c r="K677" s="0"/>
      <c r="L677" s="0"/>
      <c r="U677" s="0"/>
      <c r="V677" s="0"/>
      <c r="W677" s="0"/>
      <c r="X677" s="0"/>
      <c r="Y677" s="0"/>
    </row>
    <row r="678" customFormat="false" ht="12.8" hidden="false" customHeight="false" outlineLevel="0" collapsed="false">
      <c r="G678" s="25" t="n">
        <v>44842</v>
      </c>
      <c r="H678" s="26" t="s">
        <v>10</v>
      </c>
      <c r="I678" s="5" t="n">
        <f aca="false">-44</f>
        <v>-44</v>
      </c>
      <c r="J678" s="54" t="s">
        <v>38</v>
      </c>
      <c r="K678" s="0"/>
      <c r="L678" s="0"/>
      <c r="U678" s="0"/>
      <c r="V678" s="0"/>
      <c r="W678" s="0"/>
      <c r="X678" s="0"/>
      <c r="Y678" s="0"/>
    </row>
    <row r="679" customFormat="false" ht="12.8" hidden="false" customHeight="false" outlineLevel="0" collapsed="false">
      <c r="G679" s="25" t="n">
        <v>44842</v>
      </c>
      <c r="H679" s="32" t="s">
        <v>15</v>
      </c>
      <c r="I679" s="5" t="n">
        <v>44</v>
      </c>
      <c r="J679" s="54" t="s">
        <v>38</v>
      </c>
      <c r="K679" s="0"/>
      <c r="L679" s="0"/>
      <c r="U679" s="0"/>
      <c r="V679" s="0"/>
      <c r="W679" s="0"/>
      <c r="X679" s="0"/>
      <c r="Y679" s="0"/>
    </row>
    <row r="680" customFormat="false" ht="12.8" hidden="false" customHeight="false" outlineLevel="0" collapsed="false">
      <c r="G680" s="25" t="n">
        <v>44842</v>
      </c>
      <c r="H680" s="60"/>
      <c r="I680" s="61" t="n">
        <v>0</v>
      </c>
      <c r="J680" s="62" t="s">
        <v>94</v>
      </c>
      <c r="K680" s="0"/>
      <c r="L680" s="0"/>
      <c r="U680" s="0"/>
      <c r="V680" s="0"/>
      <c r="W680" s="0"/>
      <c r="X680" s="0"/>
      <c r="Y680" s="0"/>
    </row>
    <row r="681" customFormat="false" ht="12.8" hidden="false" customHeight="false" outlineLevel="0" collapsed="false">
      <c r="G681" s="25" t="n">
        <v>44843</v>
      </c>
      <c r="H681" s="60"/>
      <c r="I681" s="61" t="n">
        <v>9</v>
      </c>
      <c r="J681" s="62" t="s">
        <v>94</v>
      </c>
      <c r="K681" s="0"/>
      <c r="L681" s="5"/>
      <c r="U681" s="0"/>
      <c r="V681" s="0"/>
      <c r="W681" s="0"/>
      <c r="X681" s="0"/>
      <c r="Y681" s="0"/>
    </row>
    <row r="682" customFormat="false" ht="12.8" hidden="false" customHeight="false" outlineLevel="0" collapsed="false">
      <c r="G682" s="25" t="n">
        <v>44844</v>
      </c>
      <c r="H682" s="26" t="s">
        <v>10</v>
      </c>
      <c r="I682" s="5" t="n">
        <v>-500</v>
      </c>
      <c r="J682" s="54" t="s">
        <v>38</v>
      </c>
      <c r="K682" s="0"/>
      <c r="L682" s="0"/>
      <c r="M682" s="0"/>
      <c r="U682" s="0"/>
      <c r="V682" s="0"/>
      <c r="W682" s="0"/>
      <c r="X682" s="0"/>
      <c r="Y682" s="0"/>
    </row>
    <row r="683" customFormat="false" ht="12.8" hidden="false" customHeight="false" outlineLevel="0" collapsed="false">
      <c r="G683" s="25" t="n">
        <v>44844</v>
      </c>
      <c r="H683" s="32" t="s">
        <v>15</v>
      </c>
      <c r="I683" s="5" t="n">
        <v>500</v>
      </c>
      <c r="J683" s="54" t="s">
        <v>38</v>
      </c>
      <c r="K683" s="0"/>
      <c r="L683" s="5"/>
      <c r="U683" s="0"/>
      <c r="V683" s="0"/>
      <c r="W683" s="0"/>
      <c r="X683" s="0"/>
      <c r="Y683" s="0"/>
    </row>
    <row r="684" customFormat="false" ht="12.8" hidden="false" customHeight="false" outlineLevel="0" collapsed="false">
      <c r="G684" s="25" t="n">
        <v>44844</v>
      </c>
      <c r="H684" s="32" t="s">
        <v>15</v>
      </c>
      <c r="I684" s="5" t="n">
        <v>-500</v>
      </c>
      <c r="J684" s="0" t="s">
        <v>56</v>
      </c>
      <c r="K684" s="0"/>
      <c r="L684" s="5"/>
      <c r="U684" s="0"/>
      <c r="V684" s="0"/>
      <c r="W684" s="0"/>
      <c r="X684" s="0"/>
      <c r="Y684" s="0"/>
    </row>
    <row r="685" customFormat="false" ht="12.8" hidden="false" customHeight="false" outlineLevel="0" collapsed="false">
      <c r="G685" s="25" t="n">
        <v>44844</v>
      </c>
      <c r="H685" s="48" t="s">
        <v>26</v>
      </c>
      <c r="I685" s="5" t="n">
        <v>500</v>
      </c>
      <c r="J685" s="0" t="s">
        <v>56</v>
      </c>
      <c r="K685" s="0"/>
      <c r="L685" s="5"/>
      <c r="U685" s="0"/>
      <c r="V685" s="0"/>
      <c r="W685" s="0"/>
      <c r="X685" s="0"/>
      <c r="Y685" s="0"/>
    </row>
    <row r="686" customFormat="false" ht="12.8" hidden="false" customHeight="false" outlineLevel="0" collapsed="false">
      <c r="G686" s="25" t="n">
        <v>44844</v>
      </c>
      <c r="H686" s="60"/>
      <c r="I686" s="61" t="n">
        <v>0</v>
      </c>
      <c r="J686" s="62" t="s">
        <v>94</v>
      </c>
      <c r="K686" s="0"/>
      <c r="L686" s="0"/>
      <c r="U686" s="0"/>
      <c r="V686" s="0"/>
      <c r="W686" s="0"/>
      <c r="X686" s="0"/>
      <c r="Y686" s="0"/>
    </row>
    <row r="687" customFormat="false" ht="12.8" hidden="false" customHeight="false" outlineLevel="0" collapsed="false">
      <c r="G687" s="25" t="n">
        <v>44844</v>
      </c>
      <c r="H687" s="48" t="s">
        <v>26</v>
      </c>
      <c r="I687" s="5" t="n">
        <v>-500</v>
      </c>
      <c r="J687" s="0" t="s">
        <v>95</v>
      </c>
      <c r="K687" s="0"/>
      <c r="L687" s="0"/>
      <c r="U687" s="0"/>
      <c r="V687" s="0"/>
      <c r="W687" s="0"/>
      <c r="X687" s="0"/>
      <c r="Y687" s="0"/>
    </row>
    <row r="688" customFormat="false" ht="12.8" hidden="false" customHeight="false" outlineLevel="0" collapsed="false">
      <c r="G688" s="25" t="n">
        <v>44844</v>
      </c>
      <c r="H688" s="52" t="s">
        <v>14</v>
      </c>
      <c r="I688" s="5" t="n">
        <v>500</v>
      </c>
      <c r="J688" s="0" t="s">
        <v>57</v>
      </c>
      <c r="K688" s="0"/>
      <c r="L688" s="0"/>
      <c r="U688" s="0"/>
      <c r="V688" s="0"/>
      <c r="W688" s="0"/>
      <c r="X688" s="0"/>
      <c r="Y688" s="0"/>
    </row>
    <row r="689" customFormat="false" ht="12.8" hidden="false" customHeight="false" outlineLevel="0" collapsed="false">
      <c r="G689" s="25" t="n">
        <v>44844</v>
      </c>
      <c r="H689" s="52" t="s">
        <v>14</v>
      </c>
      <c r="I689" s="5" t="n">
        <v>0.35</v>
      </c>
      <c r="J689" s="0" t="s">
        <v>40</v>
      </c>
      <c r="K689" s="0"/>
      <c r="L689" s="0"/>
      <c r="U689" s="0"/>
      <c r="V689" s="0"/>
      <c r="W689" s="0"/>
      <c r="X689" s="0"/>
      <c r="Y689" s="0"/>
    </row>
    <row r="690" customFormat="false" ht="12.8" hidden="false" customHeight="false" outlineLevel="0" collapsed="false">
      <c r="G690" s="25" t="n">
        <v>44845</v>
      </c>
      <c r="H690" s="60"/>
      <c r="I690" s="61" t="n">
        <v>0</v>
      </c>
      <c r="J690" s="62" t="s">
        <v>94</v>
      </c>
      <c r="K690" s="0"/>
      <c r="L690" s="0"/>
      <c r="U690" s="0"/>
      <c r="V690" s="0"/>
      <c r="W690" s="0"/>
      <c r="X690" s="0"/>
      <c r="Y690" s="0"/>
    </row>
    <row r="691" customFormat="false" ht="12.8" hidden="false" customHeight="false" outlineLevel="0" collapsed="false">
      <c r="G691" s="25" t="n">
        <v>44846</v>
      </c>
      <c r="H691" s="60"/>
      <c r="I691" s="61" t="n">
        <v>0</v>
      </c>
      <c r="J691" s="62" t="s">
        <v>94</v>
      </c>
      <c r="K691" s="0"/>
      <c r="L691" s="0"/>
      <c r="U691" s="0"/>
      <c r="V691" s="0"/>
      <c r="W691" s="0"/>
      <c r="X691" s="0"/>
      <c r="Y691" s="0"/>
    </row>
    <row r="692" customFormat="false" ht="12.8" hidden="false" customHeight="false" outlineLevel="0" collapsed="false">
      <c r="G692" s="25" t="n">
        <v>44847</v>
      </c>
      <c r="H692" s="60"/>
      <c r="I692" s="61" t="n">
        <v>0</v>
      </c>
      <c r="J692" s="62" t="s">
        <v>94</v>
      </c>
      <c r="K692" s="0"/>
      <c r="L692" s="0"/>
      <c r="U692" s="0"/>
      <c r="V692" s="0"/>
      <c r="W692" s="0"/>
      <c r="X692" s="0"/>
      <c r="Y692" s="0"/>
    </row>
    <row r="693" customFormat="false" ht="12.8" hidden="false" customHeight="false" outlineLevel="0" collapsed="false">
      <c r="G693" s="25" t="n">
        <v>44847</v>
      </c>
      <c r="H693" s="26" t="s">
        <v>10</v>
      </c>
      <c r="I693" s="5" t="n">
        <v>-426</v>
      </c>
      <c r="J693" s="54" t="s">
        <v>38</v>
      </c>
      <c r="K693" s="0"/>
      <c r="L693" s="0"/>
      <c r="U693" s="0"/>
      <c r="V693" s="0"/>
      <c r="W693" s="0"/>
      <c r="X693" s="0"/>
      <c r="Y693" s="0"/>
    </row>
    <row r="694" customFormat="false" ht="12.8" hidden="false" customHeight="false" outlineLevel="0" collapsed="false">
      <c r="G694" s="25" t="n">
        <v>44847</v>
      </c>
      <c r="H694" s="32" t="s">
        <v>15</v>
      </c>
      <c r="I694" s="5" t="n">
        <v>426</v>
      </c>
      <c r="J694" s="54" t="s">
        <v>38</v>
      </c>
      <c r="K694" s="0"/>
      <c r="L694" s="0"/>
      <c r="U694" s="0"/>
      <c r="V694" s="0"/>
      <c r="W694" s="0"/>
      <c r="X694" s="0"/>
      <c r="Y694" s="0"/>
    </row>
    <row r="695" customFormat="false" ht="12.8" hidden="false" customHeight="false" outlineLevel="0" collapsed="false">
      <c r="G695" s="25" t="n">
        <v>44847</v>
      </c>
      <c r="H695" s="32" t="s">
        <v>15</v>
      </c>
      <c r="I695" s="5" t="n">
        <v>-426</v>
      </c>
      <c r="J695" s="0" t="s">
        <v>56</v>
      </c>
      <c r="K695" s="0"/>
      <c r="L695" s="0"/>
      <c r="U695" s="0"/>
      <c r="V695" s="0"/>
      <c r="W695" s="0"/>
      <c r="X695" s="0"/>
      <c r="Y695" s="0"/>
    </row>
    <row r="696" customFormat="false" ht="12.8" hidden="false" customHeight="false" outlineLevel="0" collapsed="false">
      <c r="G696" s="25" t="n">
        <v>44847</v>
      </c>
      <c r="H696" s="48" t="s">
        <v>26</v>
      </c>
      <c r="I696" s="5" t="n">
        <v>426</v>
      </c>
      <c r="J696" s="0" t="s">
        <v>56</v>
      </c>
      <c r="K696" s="0"/>
      <c r="L696" s="0"/>
      <c r="U696" s="0"/>
      <c r="V696" s="0"/>
      <c r="W696" s="0"/>
      <c r="X696" s="0"/>
      <c r="Y696" s="0"/>
    </row>
    <row r="697" customFormat="false" ht="12.8" hidden="false" customHeight="false" outlineLevel="0" collapsed="false">
      <c r="G697" s="25" t="n">
        <v>44847</v>
      </c>
      <c r="H697" s="48" t="s">
        <v>26</v>
      </c>
      <c r="I697" s="5" t="n">
        <v>-426</v>
      </c>
      <c r="J697" s="0" t="s">
        <v>95</v>
      </c>
      <c r="K697" s="0"/>
      <c r="L697" s="0"/>
      <c r="U697" s="0"/>
      <c r="V697" s="0"/>
      <c r="W697" s="0"/>
      <c r="X697" s="0"/>
      <c r="Y697" s="0"/>
    </row>
    <row r="698" customFormat="false" ht="12.8" hidden="false" customHeight="false" outlineLevel="0" collapsed="false">
      <c r="G698" s="25" t="n">
        <v>44847</v>
      </c>
      <c r="H698" s="52" t="s">
        <v>14</v>
      </c>
      <c r="I698" s="5" t="n">
        <v>426</v>
      </c>
      <c r="J698" s="0" t="s">
        <v>57</v>
      </c>
      <c r="K698" s="0"/>
      <c r="L698" s="0"/>
      <c r="U698" s="0"/>
      <c r="V698" s="0"/>
      <c r="W698" s="0"/>
      <c r="X698" s="0"/>
      <c r="Y698" s="0"/>
    </row>
    <row r="699" customFormat="false" ht="12.8" hidden="false" customHeight="false" outlineLevel="0" collapsed="false">
      <c r="G699" s="25" t="n">
        <v>44847</v>
      </c>
      <c r="H699" s="52" t="s">
        <v>14</v>
      </c>
      <c r="I699" s="5" t="n">
        <f aca="false">4205.07-4204.89</f>
        <v>0.179999999999382</v>
      </c>
      <c r="J699" s="0" t="s">
        <v>40</v>
      </c>
      <c r="K699" s="0"/>
      <c r="L699" s="0"/>
      <c r="U699" s="0"/>
      <c r="V699" s="0"/>
      <c r="W699" s="0"/>
      <c r="X699" s="0"/>
      <c r="Y699" s="0"/>
    </row>
    <row r="700" customFormat="false" ht="12.8" hidden="false" customHeight="false" outlineLevel="0" collapsed="false">
      <c r="G700" s="25" t="n">
        <v>44848</v>
      </c>
      <c r="H700" s="60"/>
      <c r="I700" s="61" t="n">
        <v>0</v>
      </c>
      <c r="J700" s="62" t="s">
        <v>94</v>
      </c>
      <c r="K700" s="0"/>
      <c r="L700" s="0"/>
      <c r="U700" s="0"/>
      <c r="V700" s="0"/>
      <c r="W700" s="0"/>
      <c r="X700" s="0"/>
      <c r="Y700" s="0"/>
    </row>
    <row r="701" customFormat="false" ht="12.8" hidden="false" customHeight="false" outlineLevel="0" collapsed="false">
      <c r="G701" s="25" t="n">
        <v>44848</v>
      </c>
      <c r="H701" s="43" t="s">
        <v>23</v>
      </c>
      <c r="I701" s="5" t="n">
        <v>1524</v>
      </c>
      <c r="J701" s="10" t="s">
        <v>96</v>
      </c>
      <c r="K701" s="0"/>
      <c r="L701" s="0"/>
      <c r="M701" s="0"/>
      <c r="U701" s="0"/>
      <c r="V701" s="0"/>
      <c r="W701" s="0"/>
      <c r="X701" s="0"/>
      <c r="Y701" s="0"/>
    </row>
    <row r="702" customFormat="false" ht="12.8" hidden="false" customHeight="false" outlineLevel="0" collapsed="false">
      <c r="G702" s="25" t="n">
        <v>44848</v>
      </c>
      <c r="H702" s="43" t="s">
        <v>23</v>
      </c>
      <c r="I702" s="5" t="n">
        <v>-5</v>
      </c>
      <c r="J702" s="10" t="s">
        <v>43</v>
      </c>
      <c r="K702" s="0"/>
      <c r="L702" s="0"/>
      <c r="M702" s="0"/>
      <c r="U702" s="0"/>
      <c r="V702" s="0"/>
      <c r="W702" s="0"/>
      <c r="X702" s="0"/>
      <c r="Y702" s="0"/>
    </row>
    <row r="703" customFormat="false" ht="12.8" hidden="false" customHeight="false" outlineLevel="0" collapsed="false">
      <c r="G703" s="25" t="n">
        <v>44849</v>
      </c>
      <c r="H703" s="60"/>
      <c r="I703" s="61" t="n">
        <v>0</v>
      </c>
      <c r="J703" s="62" t="s">
        <v>94</v>
      </c>
      <c r="K703" s="0"/>
      <c r="L703" s="0"/>
      <c r="U703" s="0"/>
      <c r="V703" s="0"/>
      <c r="W703" s="0"/>
      <c r="X703" s="0"/>
      <c r="Y703" s="0"/>
    </row>
    <row r="704" customFormat="false" ht="12.8" hidden="false" customHeight="false" outlineLevel="0" collapsed="false">
      <c r="G704" s="25" t="n">
        <v>44850</v>
      </c>
      <c r="H704" s="60"/>
      <c r="I704" s="61" t="n">
        <v>0</v>
      </c>
      <c r="J704" s="62" t="s">
        <v>94</v>
      </c>
      <c r="K704" s="0"/>
      <c r="L704" s="0"/>
      <c r="U704" s="0"/>
      <c r="V704" s="0"/>
      <c r="W704" s="0"/>
      <c r="X704" s="0"/>
      <c r="Y704" s="0"/>
    </row>
    <row r="705" customFormat="false" ht="12.8" hidden="false" customHeight="false" outlineLevel="0" collapsed="false">
      <c r="G705" s="25" t="n">
        <v>44851</v>
      </c>
      <c r="H705" s="60"/>
      <c r="I705" s="61" t="n">
        <v>0</v>
      </c>
      <c r="J705" s="62" t="s">
        <v>94</v>
      </c>
      <c r="K705" s="0"/>
      <c r="L705" s="0"/>
      <c r="U705" s="0"/>
      <c r="V705" s="0"/>
      <c r="W705" s="0"/>
      <c r="X705" s="0"/>
      <c r="Y705" s="0"/>
    </row>
    <row r="706" customFormat="false" ht="12.8" hidden="false" customHeight="false" outlineLevel="0" collapsed="false">
      <c r="G706" s="25" t="n">
        <v>44851</v>
      </c>
      <c r="H706" s="43" t="s">
        <v>23</v>
      </c>
      <c r="I706" s="5" t="n">
        <v>526</v>
      </c>
      <c r="J706" s="10" t="s">
        <v>97</v>
      </c>
      <c r="K706" s="0"/>
      <c r="L706" s="0"/>
      <c r="U706" s="0"/>
      <c r="V706" s="0"/>
      <c r="W706" s="0"/>
      <c r="X706" s="0"/>
      <c r="Y706" s="0"/>
    </row>
    <row r="707" customFormat="false" ht="12.8" hidden="false" customHeight="false" outlineLevel="0" collapsed="false">
      <c r="G707" s="25" t="n">
        <v>44852</v>
      </c>
      <c r="H707" s="60"/>
      <c r="I707" s="61" t="n">
        <v>0</v>
      </c>
      <c r="J707" s="62" t="s">
        <v>94</v>
      </c>
      <c r="K707" s="0"/>
      <c r="L707" s="63"/>
      <c r="U707" s="0"/>
      <c r="V707" s="0"/>
      <c r="W707" s="0"/>
      <c r="X707" s="0"/>
      <c r="Y707" s="0"/>
    </row>
    <row r="708" customFormat="false" ht="12.8" hidden="false" customHeight="false" outlineLevel="0" collapsed="false">
      <c r="G708" s="25" t="n">
        <v>44853</v>
      </c>
      <c r="H708" s="43" t="s">
        <v>23</v>
      </c>
      <c r="I708" s="5" t="n">
        <v>-131.21</v>
      </c>
      <c r="J708" s="10" t="s">
        <v>47</v>
      </c>
      <c r="K708" s="0"/>
      <c r="L708" s="0"/>
      <c r="U708" s="0"/>
      <c r="V708" s="0"/>
      <c r="W708" s="0"/>
      <c r="X708" s="0"/>
      <c r="Y708" s="0"/>
    </row>
    <row r="709" customFormat="false" ht="12.8" hidden="false" customHeight="false" outlineLevel="0" collapsed="false">
      <c r="G709" s="25" t="n">
        <v>44853</v>
      </c>
      <c r="H709" s="43" t="s">
        <v>23</v>
      </c>
      <c r="I709" s="5" t="n">
        <v>-66.33</v>
      </c>
      <c r="J709" s="10" t="s">
        <v>48</v>
      </c>
      <c r="K709" s="0"/>
      <c r="L709" s="0"/>
      <c r="U709" s="0"/>
      <c r="V709" s="0"/>
      <c r="W709" s="0"/>
      <c r="X709" s="0"/>
      <c r="Y709" s="0"/>
    </row>
    <row r="710" customFormat="false" ht="12.8" hidden="false" customHeight="false" outlineLevel="0" collapsed="false">
      <c r="G710" s="25" t="n">
        <v>44853</v>
      </c>
      <c r="H710" s="60"/>
      <c r="I710" s="61" t="n">
        <v>0</v>
      </c>
      <c r="J710" s="62" t="s">
        <v>94</v>
      </c>
      <c r="K710" s="0"/>
      <c r="L710" s="0"/>
      <c r="U710" s="0"/>
      <c r="V710" s="0"/>
      <c r="W710" s="0"/>
      <c r="X710" s="0"/>
      <c r="Y710" s="0"/>
    </row>
    <row r="711" customFormat="false" ht="12.8" hidden="false" customHeight="false" outlineLevel="0" collapsed="false">
      <c r="G711" s="25" t="n">
        <v>44854</v>
      </c>
      <c r="H711" s="60"/>
      <c r="I711" s="61" t="n">
        <v>0</v>
      </c>
      <c r="J711" s="62" t="s">
        <v>94</v>
      </c>
      <c r="K711" s="0"/>
      <c r="L711" s="0"/>
      <c r="U711" s="0"/>
      <c r="V711" s="0"/>
      <c r="W711" s="0"/>
      <c r="X711" s="0"/>
      <c r="Y711" s="0"/>
    </row>
    <row r="712" customFormat="false" ht="12.8" hidden="false" customHeight="false" outlineLevel="0" collapsed="false">
      <c r="G712" s="25" t="n">
        <v>44854</v>
      </c>
      <c r="H712" s="43" t="s">
        <v>23</v>
      </c>
      <c r="I712" s="5" t="n">
        <v>-521.42</v>
      </c>
      <c r="J712" s="10" t="s">
        <v>52</v>
      </c>
      <c r="K712" s="0"/>
      <c r="L712" s="0"/>
      <c r="U712" s="0"/>
      <c r="V712" s="0"/>
      <c r="W712" s="0"/>
      <c r="X712" s="0"/>
      <c r="Y712" s="0"/>
    </row>
    <row r="713" customFormat="false" ht="12.8" hidden="false" customHeight="false" outlineLevel="0" collapsed="false">
      <c r="G713" s="25" t="n">
        <v>44855</v>
      </c>
      <c r="H713" s="43" t="s">
        <v>23</v>
      </c>
      <c r="I713" s="5" t="n">
        <v>-85</v>
      </c>
      <c r="J713" s="10" t="s">
        <v>53</v>
      </c>
      <c r="K713" s="0"/>
      <c r="L713" s="0"/>
      <c r="U713" s="0"/>
      <c r="V713" s="0"/>
      <c r="W713" s="0"/>
      <c r="X713" s="0"/>
      <c r="Y713" s="0"/>
    </row>
    <row r="714" customFormat="false" ht="12.8" hidden="false" customHeight="false" outlineLevel="0" collapsed="false">
      <c r="G714" s="25" t="n">
        <v>44855</v>
      </c>
      <c r="H714" s="60"/>
      <c r="I714" s="61" t="n">
        <v>0</v>
      </c>
      <c r="J714" s="62" t="s">
        <v>94</v>
      </c>
      <c r="K714" s="0"/>
      <c r="L714" s="0"/>
      <c r="U714" s="0"/>
      <c r="V714" s="0"/>
      <c r="W714" s="0"/>
      <c r="X714" s="0"/>
      <c r="Y714" s="0"/>
    </row>
    <row r="715" customFormat="false" ht="12.8" hidden="false" customHeight="false" outlineLevel="0" collapsed="false">
      <c r="G715" s="25" t="n">
        <v>44856</v>
      </c>
      <c r="H715" s="60"/>
      <c r="I715" s="61" t="n">
        <v>0</v>
      </c>
      <c r="J715" s="62" t="s">
        <v>94</v>
      </c>
      <c r="K715" s="0"/>
      <c r="L715" s="0"/>
      <c r="U715" s="0"/>
      <c r="V715" s="0"/>
      <c r="W715" s="0"/>
      <c r="X715" s="0"/>
      <c r="Y715" s="0"/>
    </row>
    <row r="716" customFormat="false" ht="12.8" hidden="false" customHeight="false" outlineLevel="0" collapsed="false">
      <c r="G716" s="25" t="n">
        <v>44857</v>
      </c>
      <c r="H716" s="60"/>
      <c r="I716" s="61" t="n">
        <v>0</v>
      </c>
      <c r="J716" s="62" t="s">
        <v>94</v>
      </c>
      <c r="K716" s="0"/>
      <c r="L716" s="0"/>
      <c r="U716" s="0"/>
      <c r="V716" s="0"/>
      <c r="W716" s="0"/>
      <c r="X716" s="0"/>
      <c r="Y716" s="0"/>
    </row>
    <row r="717" customFormat="false" ht="12.8" hidden="false" customHeight="false" outlineLevel="0" collapsed="false">
      <c r="G717" s="25" t="n">
        <v>44858</v>
      </c>
      <c r="H717" s="26" t="s">
        <v>10</v>
      </c>
      <c r="I717" s="5" t="n">
        <v>-150</v>
      </c>
      <c r="J717" s="54" t="s">
        <v>54</v>
      </c>
      <c r="K717" s="0"/>
      <c r="L717" s="0"/>
      <c r="U717" s="0"/>
      <c r="V717" s="0"/>
      <c r="W717" s="0"/>
      <c r="X717" s="0"/>
      <c r="Y717" s="0"/>
    </row>
    <row r="718" customFormat="false" ht="12.8" hidden="false" customHeight="false" outlineLevel="0" collapsed="false">
      <c r="G718" s="25" t="n">
        <v>44858</v>
      </c>
      <c r="H718" s="32" t="s">
        <v>15</v>
      </c>
      <c r="I718" s="5" t="n">
        <v>150</v>
      </c>
      <c r="J718" s="54" t="s">
        <v>54</v>
      </c>
      <c r="K718" s="0"/>
      <c r="L718" s="0"/>
      <c r="U718" s="0"/>
      <c r="V718" s="0"/>
      <c r="W718" s="0"/>
      <c r="X718" s="0"/>
      <c r="Y718" s="0"/>
    </row>
    <row r="719" customFormat="false" ht="12.8" hidden="false" customHeight="false" outlineLevel="0" collapsed="false">
      <c r="G719" s="25" t="n">
        <v>44858</v>
      </c>
      <c r="H719" s="60"/>
      <c r="I719" s="61" t="n">
        <v>0</v>
      </c>
      <c r="J719" s="62" t="s">
        <v>94</v>
      </c>
      <c r="K719" s="0"/>
      <c r="L719" s="0"/>
      <c r="U719" s="0"/>
      <c r="V719" s="0"/>
      <c r="W719" s="0"/>
      <c r="X719" s="0"/>
      <c r="Y719" s="0"/>
    </row>
    <row r="720" customFormat="false" ht="12.8" hidden="false" customHeight="false" outlineLevel="0" collapsed="false">
      <c r="G720" s="25" t="n">
        <v>44859</v>
      </c>
      <c r="H720" s="32" t="s">
        <v>15</v>
      </c>
      <c r="I720" s="5" t="n">
        <v>-150</v>
      </c>
      <c r="J720" s="54" t="s">
        <v>55</v>
      </c>
      <c r="K720" s="0"/>
      <c r="L720" s="0"/>
      <c r="U720" s="0"/>
      <c r="V720" s="0"/>
      <c r="W720" s="0"/>
      <c r="X720" s="0"/>
      <c r="Y720" s="0"/>
    </row>
    <row r="721" customFormat="false" ht="12.8" hidden="false" customHeight="false" outlineLevel="0" collapsed="false">
      <c r="G721" s="25" t="n">
        <v>44859</v>
      </c>
      <c r="H721" s="60"/>
      <c r="I721" s="61" t="n">
        <v>0</v>
      </c>
      <c r="J721" s="62" t="s">
        <v>94</v>
      </c>
      <c r="K721" s="0"/>
      <c r="L721" s="0"/>
      <c r="U721" s="0"/>
      <c r="V721" s="0"/>
      <c r="W721" s="0"/>
      <c r="X721" s="0"/>
      <c r="Y721" s="0"/>
    </row>
    <row r="722" customFormat="false" ht="12.8" hidden="false" customHeight="false" outlineLevel="0" collapsed="false">
      <c r="G722" s="25" t="n">
        <v>44859</v>
      </c>
      <c r="H722" s="26" t="s">
        <v>10</v>
      </c>
      <c r="I722" s="5" t="n">
        <v>-10</v>
      </c>
      <c r="J722" s="54" t="s">
        <v>38</v>
      </c>
      <c r="K722" s="0"/>
      <c r="L722" s="0"/>
      <c r="U722" s="0"/>
      <c r="V722" s="0"/>
      <c r="W722" s="0"/>
      <c r="X722" s="0"/>
      <c r="Y722" s="0"/>
    </row>
    <row r="723" customFormat="false" ht="12.8" hidden="false" customHeight="false" outlineLevel="0" collapsed="false">
      <c r="G723" s="25" t="n">
        <v>44859</v>
      </c>
      <c r="H723" s="32" t="s">
        <v>15</v>
      </c>
      <c r="I723" s="5" t="n">
        <v>10</v>
      </c>
      <c r="J723" s="54" t="s">
        <v>38</v>
      </c>
      <c r="K723" s="0"/>
      <c r="L723" s="0"/>
      <c r="U723" s="0"/>
      <c r="V723" s="0"/>
      <c r="W723" s="0"/>
      <c r="X723" s="0"/>
      <c r="Y723" s="0"/>
    </row>
    <row r="724" customFormat="false" ht="12.8" hidden="false" customHeight="false" outlineLevel="0" collapsed="false">
      <c r="G724" s="25" t="n">
        <v>44859</v>
      </c>
      <c r="H724" s="32" t="s">
        <v>15</v>
      </c>
      <c r="I724" s="5" t="n">
        <v>-65</v>
      </c>
      <c r="J724" s="0" t="s">
        <v>56</v>
      </c>
      <c r="K724" s="0"/>
      <c r="L724" s="0"/>
      <c r="U724" s="0"/>
      <c r="V724" s="0"/>
      <c r="W724" s="0"/>
      <c r="X724" s="0"/>
      <c r="Y724" s="0"/>
    </row>
    <row r="725" customFormat="false" ht="12.8" hidden="false" customHeight="false" outlineLevel="0" collapsed="false">
      <c r="G725" s="25" t="n">
        <v>44859</v>
      </c>
      <c r="H725" s="48" t="s">
        <v>26</v>
      </c>
      <c r="I725" s="5" t="n">
        <v>65</v>
      </c>
      <c r="J725" s="0" t="s">
        <v>56</v>
      </c>
      <c r="K725" s="0"/>
      <c r="L725" s="0"/>
      <c r="U725" s="0"/>
      <c r="V725" s="0"/>
      <c r="W725" s="0"/>
      <c r="X725" s="0"/>
      <c r="Y725" s="0"/>
    </row>
    <row r="726" customFormat="false" ht="12.8" hidden="false" customHeight="false" outlineLevel="0" collapsed="false">
      <c r="G726" s="25" t="n">
        <v>44860</v>
      </c>
      <c r="H726" s="60"/>
      <c r="I726" s="61" t="n">
        <v>0</v>
      </c>
      <c r="J726" s="62" t="s">
        <v>94</v>
      </c>
      <c r="K726" s="0"/>
      <c r="L726" s="0"/>
      <c r="U726" s="0"/>
      <c r="V726" s="0"/>
      <c r="W726" s="0"/>
      <c r="X726" s="0"/>
      <c r="Y726" s="0"/>
    </row>
    <row r="727" customFormat="false" ht="12.8" hidden="false" customHeight="false" outlineLevel="0" collapsed="false">
      <c r="G727" s="25" t="n">
        <v>44861</v>
      </c>
      <c r="H727" s="60"/>
      <c r="I727" s="61" t="n">
        <v>0</v>
      </c>
      <c r="J727" s="62" t="s">
        <v>94</v>
      </c>
      <c r="K727" s="0"/>
      <c r="L727" s="0"/>
      <c r="U727" s="0"/>
      <c r="V727" s="0"/>
      <c r="W727" s="0"/>
      <c r="X727" s="0"/>
      <c r="Y727" s="0"/>
    </row>
    <row r="728" customFormat="false" ht="12.8" hidden="false" customHeight="false" outlineLevel="0" collapsed="false">
      <c r="G728" s="25" t="n">
        <v>44862</v>
      </c>
      <c r="H728" s="48" t="s">
        <v>26</v>
      </c>
      <c r="I728" s="5" t="n">
        <v>-50</v>
      </c>
      <c r="J728" s="27" t="s">
        <v>98</v>
      </c>
      <c r="K728" s="5"/>
      <c r="L728" s="0"/>
      <c r="U728" s="0"/>
      <c r="V728" s="0"/>
      <c r="W728" s="0"/>
      <c r="X728" s="0"/>
      <c r="Y728" s="0"/>
    </row>
    <row r="729" customFormat="false" ht="12.8" hidden="false" customHeight="false" outlineLevel="0" collapsed="false">
      <c r="G729" s="25" t="n">
        <v>44862</v>
      </c>
      <c r="H729" s="52" t="s">
        <v>14</v>
      </c>
      <c r="I729" s="5" t="n">
        <v>50</v>
      </c>
      <c r="J729" s="27" t="s">
        <v>98</v>
      </c>
      <c r="K729" s="5"/>
      <c r="L729" s="0"/>
      <c r="U729" s="0"/>
      <c r="V729" s="0"/>
      <c r="W729" s="0"/>
      <c r="X729" s="0"/>
      <c r="Y729" s="0"/>
    </row>
    <row r="730" customFormat="false" ht="12.8" hidden="false" customHeight="false" outlineLevel="0" collapsed="false">
      <c r="G730" s="25" t="n">
        <v>44862</v>
      </c>
      <c r="H730" s="60"/>
      <c r="I730" s="61" t="n">
        <v>0</v>
      </c>
      <c r="J730" s="62" t="s">
        <v>94</v>
      </c>
      <c r="K730" s="0"/>
      <c r="L730" s="0"/>
      <c r="U730" s="0"/>
      <c r="V730" s="0"/>
      <c r="W730" s="0"/>
      <c r="X730" s="0"/>
      <c r="Y730" s="0"/>
    </row>
    <row r="731" customFormat="false" ht="12.8" hidden="false" customHeight="false" outlineLevel="0" collapsed="false">
      <c r="G731" s="25" t="n">
        <v>44862</v>
      </c>
      <c r="H731" s="26" t="s">
        <v>10</v>
      </c>
      <c r="I731" s="5" t="n">
        <v>-740</v>
      </c>
      <c r="J731" s="54" t="s">
        <v>38</v>
      </c>
      <c r="K731" s="0"/>
      <c r="L731" s="0"/>
      <c r="U731" s="0"/>
      <c r="V731" s="0"/>
      <c r="W731" s="0"/>
      <c r="X731" s="0"/>
      <c r="Y731" s="0"/>
    </row>
    <row r="732" customFormat="false" ht="12.8" hidden="false" customHeight="false" outlineLevel="0" collapsed="false">
      <c r="G732" s="25" t="n">
        <v>44862</v>
      </c>
      <c r="H732" s="32" t="s">
        <v>15</v>
      </c>
      <c r="I732" s="5" t="n">
        <v>740</v>
      </c>
      <c r="J732" s="54" t="s">
        <v>38</v>
      </c>
      <c r="K732" s="0"/>
      <c r="L732" s="0"/>
      <c r="M732" s="64"/>
      <c r="U732" s="0"/>
      <c r="V732" s="0"/>
      <c r="W732" s="0"/>
      <c r="X732" s="0"/>
      <c r="Y732" s="0"/>
    </row>
    <row r="733" customFormat="false" ht="12.8" hidden="false" customHeight="false" outlineLevel="0" collapsed="false">
      <c r="G733" s="25" t="n">
        <v>44862</v>
      </c>
      <c r="H733" s="32" t="s">
        <v>15</v>
      </c>
      <c r="I733" s="5" t="n">
        <v>-740</v>
      </c>
      <c r="J733" s="0" t="s">
        <v>56</v>
      </c>
      <c r="K733" s="0"/>
      <c r="L733" s="5"/>
      <c r="M733" s="64"/>
      <c r="U733" s="0"/>
      <c r="V733" s="0"/>
      <c r="W733" s="0"/>
      <c r="X733" s="0"/>
      <c r="Y733" s="0"/>
    </row>
    <row r="734" customFormat="false" ht="12.8" hidden="false" customHeight="false" outlineLevel="0" collapsed="false">
      <c r="G734" s="25" t="n">
        <v>44862</v>
      </c>
      <c r="H734" s="48" t="s">
        <v>26</v>
      </c>
      <c r="I734" s="5" t="n">
        <v>740</v>
      </c>
      <c r="J734" s="0" t="s">
        <v>56</v>
      </c>
      <c r="K734" s="0"/>
      <c r="L734" s="5"/>
      <c r="M734" s="64"/>
      <c r="U734" s="0"/>
      <c r="V734" s="0"/>
      <c r="W734" s="0"/>
      <c r="X734" s="0"/>
      <c r="Y734" s="0"/>
    </row>
    <row r="735" customFormat="false" ht="12.8" hidden="false" customHeight="false" outlineLevel="0" collapsed="false">
      <c r="G735" s="25" t="n">
        <v>44862</v>
      </c>
      <c r="H735" s="48" t="s">
        <v>26</v>
      </c>
      <c r="I735" s="5" t="n">
        <v>-740</v>
      </c>
      <c r="J735" s="0" t="s">
        <v>56</v>
      </c>
      <c r="K735" s="0"/>
      <c r="L735" s="5"/>
      <c r="M735" s="64"/>
      <c r="U735" s="0"/>
      <c r="V735" s="0"/>
      <c r="W735" s="0"/>
      <c r="X735" s="0"/>
      <c r="Y735" s="0"/>
    </row>
    <row r="736" customFormat="false" ht="12.8" hidden="false" customHeight="false" outlineLevel="0" collapsed="false">
      <c r="G736" s="25" t="n">
        <v>44862</v>
      </c>
      <c r="H736" s="52" t="s">
        <v>14</v>
      </c>
      <c r="I736" s="5" t="n">
        <v>740</v>
      </c>
      <c r="J736" s="0" t="s">
        <v>56</v>
      </c>
      <c r="K736" s="0"/>
      <c r="L736" s="5"/>
      <c r="M736" s="64"/>
      <c r="U736" s="0"/>
      <c r="V736" s="0"/>
      <c r="W736" s="0"/>
      <c r="X736" s="0"/>
      <c r="Y736" s="0"/>
    </row>
    <row r="737" customFormat="false" ht="12.8" hidden="false" customHeight="false" outlineLevel="0" collapsed="false">
      <c r="G737" s="25" t="n">
        <v>44862</v>
      </c>
      <c r="H737" s="52" t="s">
        <v>14</v>
      </c>
      <c r="I737" s="5" t="n">
        <v>4.58</v>
      </c>
      <c r="J737" s="0" t="s">
        <v>40</v>
      </c>
      <c r="K737" s="0"/>
      <c r="L737" s="5"/>
      <c r="M737" s="64"/>
      <c r="U737" s="0"/>
      <c r="V737" s="0"/>
      <c r="W737" s="0"/>
      <c r="X737" s="0"/>
      <c r="Y737" s="0"/>
    </row>
    <row r="738" customFormat="false" ht="12.8" hidden="false" customHeight="false" outlineLevel="0" collapsed="false">
      <c r="G738" s="25" t="n">
        <v>44862</v>
      </c>
      <c r="H738" s="41" t="s">
        <v>23</v>
      </c>
      <c r="I738" s="5" t="n">
        <v>250</v>
      </c>
      <c r="J738" s="10" t="s">
        <v>72</v>
      </c>
      <c r="K738" s="0"/>
      <c r="L738" s="0"/>
      <c r="M738" s="64"/>
      <c r="U738" s="0"/>
      <c r="V738" s="0"/>
      <c r="W738" s="0"/>
      <c r="X738" s="0"/>
      <c r="Y738" s="0"/>
    </row>
    <row r="739" customFormat="false" ht="12.8" hidden="false" customHeight="false" outlineLevel="0" collapsed="false">
      <c r="G739" s="25" t="n">
        <v>44862</v>
      </c>
      <c r="H739" s="41" t="s">
        <v>23</v>
      </c>
      <c r="I739" s="5" t="n">
        <v>-5</v>
      </c>
      <c r="J739" s="10" t="s">
        <v>43</v>
      </c>
      <c r="K739" s="0"/>
      <c r="L739" s="0"/>
      <c r="M739" s="64"/>
      <c r="U739" s="0"/>
      <c r="V739" s="0"/>
      <c r="W739" s="0"/>
      <c r="X739" s="0"/>
      <c r="Y739" s="0"/>
    </row>
    <row r="740" customFormat="false" ht="12.8" hidden="false" customHeight="false" outlineLevel="0" collapsed="false">
      <c r="G740" s="25" t="n">
        <v>44863</v>
      </c>
      <c r="H740" s="60"/>
      <c r="I740" s="61" t="n">
        <v>0</v>
      </c>
      <c r="J740" s="62" t="s">
        <v>94</v>
      </c>
      <c r="K740" s="0"/>
      <c r="L740" s="5"/>
      <c r="M740" s="64"/>
      <c r="U740" s="0"/>
      <c r="V740" s="0"/>
      <c r="W740" s="0"/>
      <c r="X740" s="0"/>
      <c r="Y740" s="0"/>
    </row>
    <row r="741" customFormat="false" ht="12.8" hidden="false" customHeight="false" outlineLevel="0" collapsed="false">
      <c r="G741" s="25" t="n">
        <v>44864</v>
      </c>
      <c r="H741" s="60"/>
      <c r="I741" s="61" t="n">
        <v>0</v>
      </c>
      <c r="J741" s="62" t="s">
        <v>94</v>
      </c>
      <c r="K741" s="0"/>
      <c r="L741" s="5"/>
      <c r="U741" s="0"/>
      <c r="V741" s="0"/>
      <c r="W741" s="0"/>
      <c r="X741" s="0"/>
      <c r="Y741" s="0"/>
    </row>
    <row r="742" customFormat="false" ht="12.8" hidden="false" customHeight="false" outlineLevel="0" collapsed="false">
      <c r="G742" s="25" t="n">
        <v>44865</v>
      </c>
      <c r="H742" s="41" t="s">
        <v>23</v>
      </c>
      <c r="I742" s="5" t="n">
        <v>-5</v>
      </c>
      <c r="J742" s="0" t="s">
        <v>82</v>
      </c>
      <c r="K742" s="0"/>
      <c r="L742" s="5"/>
      <c r="U742" s="0"/>
      <c r="V742" s="0"/>
      <c r="W742" s="0"/>
      <c r="X742" s="0"/>
      <c r="Y742" s="0"/>
    </row>
    <row r="743" customFormat="false" ht="12.8" hidden="false" customHeight="false" outlineLevel="0" collapsed="false">
      <c r="G743" s="25" t="n">
        <v>44865</v>
      </c>
      <c r="H743" s="52" t="s">
        <v>14</v>
      </c>
      <c r="I743" s="5" t="n">
        <v>1.84</v>
      </c>
      <c r="J743" s="0" t="s">
        <v>40</v>
      </c>
      <c r="K743" s="0"/>
      <c r="L743" s="0"/>
      <c r="U743" s="0"/>
      <c r="V743" s="0"/>
      <c r="W743" s="0"/>
      <c r="X743" s="0"/>
      <c r="Y743" s="0"/>
    </row>
    <row r="744" customFormat="false" ht="12.8" hidden="false" customHeight="false" outlineLevel="0" collapsed="false">
      <c r="G744" s="25" t="n">
        <v>44865</v>
      </c>
      <c r="H744" s="41" t="s">
        <v>23</v>
      </c>
      <c r="I744" s="5" t="n">
        <v>-55.5</v>
      </c>
      <c r="J744" s="0" t="s">
        <v>37</v>
      </c>
      <c r="K744" s="0"/>
      <c r="L744" s="0"/>
      <c r="U744" s="0"/>
      <c r="V744" s="0"/>
      <c r="W744" s="0"/>
      <c r="X744" s="0"/>
      <c r="Y744" s="0"/>
    </row>
    <row r="745" customFormat="false" ht="12.8" hidden="false" customHeight="false" outlineLevel="0" collapsed="false">
      <c r="G745" s="25" t="n">
        <v>44866</v>
      </c>
      <c r="H745" s="48" t="s">
        <v>26</v>
      </c>
      <c r="I745" s="5" t="n">
        <v>-5</v>
      </c>
      <c r="J745" s="0" t="s">
        <v>61</v>
      </c>
      <c r="K745" s="0"/>
      <c r="L745" s="0"/>
      <c r="U745" s="0"/>
      <c r="V745" s="0"/>
      <c r="W745" s="0"/>
      <c r="X745" s="0"/>
      <c r="Y745" s="0"/>
    </row>
    <row r="746" customFormat="false" ht="12.8" hidden="false" customHeight="false" outlineLevel="0" collapsed="false">
      <c r="G746" s="25" t="n">
        <v>44866</v>
      </c>
      <c r="H746" s="48" t="s">
        <v>26</v>
      </c>
      <c r="I746" s="5" t="n">
        <v>-10</v>
      </c>
      <c r="J746" s="55" t="s">
        <v>99</v>
      </c>
      <c r="K746" s="0"/>
      <c r="L746" s="0"/>
      <c r="U746" s="0"/>
      <c r="V746" s="0"/>
      <c r="W746" s="0"/>
      <c r="X746" s="0"/>
      <c r="Y746" s="0"/>
    </row>
    <row r="747" customFormat="false" ht="12.8" hidden="false" customHeight="false" outlineLevel="0" collapsed="false">
      <c r="G747" s="25" t="n">
        <v>44866</v>
      </c>
      <c r="H747" s="26" t="s">
        <v>10</v>
      </c>
      <c r="I747" s="5" t="n">
        <f aca="false">2.38</f>
        <v>2.38</v>
      </c>
      <c r="J747" s="0" t="s">
        <v>40</v>
      </c>
      <c r="K747" s="0"/>
      <c r="L747" s="0"/>
      <c r="U747" s="0"/>
      <c r="V747" s="0"/>
      <c r="W747" s="0"/>
      <c r="X747" s="0"/>
      <c r="Y747" s="0"/>
    </row>
    <row r="748" customFormat="false" ht="12.8" hidden="false" customHeight="false" outlineLevel="0" collapsed="false">
      <c r="G748" s="25" t="n">
        <v>44866</v>
      </c>
      <c r="H748" s="41" t="s">
        <v>23</v>
      </c>
      <c r="I748" s="5" t="n">
        <v>-55.5</v>
      </c>
      <c r="J748" s="0" t="s">
        <v>37</v>
      </c>
      <c r="K748" s="0"/>
      <c r="L748" s="0"/>
      <c r="U748" s="0"/>
      <c r="V748" s="0"/>
      <c r="W748" s="0"/>
      <c r="X748" s="0"/>
      <c r="Y748" s="0"/>
    </row>
    <row r="749" customFormat="false" ht="12.8" hidden="false" customHeight="false" outlineLevel="0" collapsed="false">
      <c r="G749" s="25" t="n">
        <v>44866</v>
      </c>
      <c r="H749" s="41" t="s">
        <v>23</v>
      </c>
      <c r="I749" s="5" t="n">
        <v>-196</v>
      </c>
      <c r="J749" s="0" t="s">
        <v>100</v>
      </c>
      <c r="K749" s="0"/>
      <c r="L749" s="0"/>
      <c r="U749" s="0"/>
      <c r="V749" s="0"/>
      <c r="W749" s="0"/>
      <c r="X749" s="0"/>
      <c r="Y749" s="0"/>
    </row>
    <row r="750" customFormat="false" ht="12.8" hidden="false" customHeight="false" outlineLevel="0" collapsed="false">
      <c r="G750" s="25" t="n">
        <v>44866</v>
      </c>
      <c r="H750" s="38" t="s">
        <v>21</v>
      </c>
      <c r="I750" s="5" t="n">
        <v>-15</v>
      </c>
      <c r="J750" s="0" t="s">
        <v>101</v>
      </c>
      <c r="K750" s="0"/>
      <c r="L750" s="0"/>
      <c r="U750" s="0"/>
      <c r="V750" s="0"/>
      <c r="W750" s="0"/>
      <c r="X750" s="0"/>
      <c r="Y750" s="0"/>
    </row>
    <row r="751" customFormat="false" ht="12.8" hidden="false" customHeight="false" outlineLevel="0" collapsed="false">
      <c r="G751" s="25" t="n">
        <v>44867</v>
      </c>
      <c r="H751" s="41" t="s">
        <v>23</v>
      </c>
      <c r="I751" s="5" t="n">
        <v>-15</v>
      </c>
      <c r="J751" s="0" t="s">
        <v>69</v>
      </c>
      <c r="K751" s="0"/>
      <c r="L751" s="0"/>
      <c r="U751" s="0"/>
      <c r="V751" s="0"/>
      <c r="W751" s="0"/>
      <c r="X751" s="0"/>
      <c r="Y751" s="0"/>
    </row>
    <row r="752" customFormat="false" ht="12.8" hidden="false" customHeight="false" outlineLevel="0" collapsed="false">
      <c r="G752" s="25" t="n">
        <v>44867</v>
      </c>
      <c r="H752" s="38" t="s">
        <v>21</v>
      </c>
      <c r="I752" s="5" t="n">
        <v>15</v>
      </c>
      <c r="J752" s="0" t="s">
        <v>69</v>
      </c>
      <c r="K752" s="0"/>
      <c r="L752" s="0"/>
      <c r="U752" s="0"/>
      <c r="V752" s="0"/>
      <c r="W752" s="0"/>
      <c r="X752" s="0"/>
      <c r="Y752" s="0"/>
    </row>
    <row r="753" customFormat="false" ht="12.8" hidden="false" customHeight="false" outlineLevel="0" collapsed="false">
      <c r="G753" s="25" t="n">
        <v>44867</v>
      </c>
      <c r="H753" s="41" t="s">
        <v>23</v>
      </c>
      <c r="I753" s="5" t="n">
        <v>-55.5</v>
      </c>
      <c r="J753" s="0" t="s">
        <v>37</v>
      </c>
      <c r="K753" s="0"/>
      <c r="L753" s="0"/>
      <c r="U753" s="0"/>
      <c r="V753" s="0"/>
      <c r="W753" s="0"/>
      <c r="X753" s="0"/>
      <c r="Y753" s="0"/>
    </row>
    <row r="754" customFormat="false" ht="12.8" hidden="false" customHeight="false" outlineLevel="0" collapsed="false">
      <c r="G754" s="25" t="n">
        <v>44867</v>
      </c>
      <c r="H754" s="41" t="s">
        <v>23</v>
      </c>
      <c r="I754" s="5" t="n">
        <v>-32.93</v>
      </c>
      <c r="J754" s="0" t="s">
        <v>102</v>
      </c>
      <c r="K754" s="0"/>
      <c r="L754" s="0"/>
      <c r="U754" s="0"/>
      <c r="V754" s="0"/>
      <c r="W754" s="0"/>
      <c r="X754" s="0"/>
      <c r="Y754" s="0"/>
    </row>
    <row r="755" customFormat="false" ht="12.8" hidden="false" customHeight="false" outlineLevel="0" collapsed="false">
      <c r="G755" s="25" t="n">
        <v>44868</v>
      </c>
      <c r="H755" s="41" t="s">
        <v>23</v>
      </c>
      <c r="I755" s="5" t="n">
        <v>-55.5</v>
      </c>
      <c r="J755" s="0" t="s">
        <v>37</v>
      </c>
      <c r="K755" s="0"/>
      <c r="L755" s="0"/>
      <c r="U755" s="0"/>
      <c r="V755" s="0"/>
      <c r="W755" s="0"/>
      <c r="X755" s="0"/>
      <c r="Y755" s="0"/>
    </row>
    <row r="756" customFormat="false" ht="12.8" hidden="false" customHeight="false" outlineLevel="0" collapsed="false">
      <c r="G756" s="25" t="n">
        <v>44868</v>
      </c>
      <c r="H756" s="41" t="s">
        <v>23</v>
      </c>
      <c r="I756" s="5" t="n">
        <v>-51.03</v>
      </c>
      <c r="J756" s="0" t="s">
        <v>103</v>
      </c>
      <c r="K756" s="5"/>
      <c r="L756" s="0"/>
      <c r="U756" s="0"/>
      <c r="V756" s="0"/>
      <c r="W756" s="0"/>
      <c r="X756" s="0"/>
      <c r="Y756" s="0"/>
    </row>
    <row r="757" customFormat="false" ht="12.8" hidden="false" customHeight="false" outlineLevel="0" collapsed="false">
      <c r="G757" s="25" t="n">
        <v>44869</v>
      </c>
      <c r="H757" s="41" t="s">
        <v>23</v>
      </c>
      <c r="I757" s="5" t="n">
        <v>-63.5</v>
      </c>
      <c r="J757" s="0" t="s">
        <v>37</v>
      </c>
      <c r="K757" s="0"/>
      <c r="L757" s="0"/>
      <c r="U757" s="0"/>
      <c r="V757" s="0"/>
      <c r="W757" s="0"/>
      <c r="X757" s="0"/>
      <c r="Y757" s="0"/>
    </row>
    <row r="758" customFormat="false" ht="12.8" hidden="false" customHeight="false" outlineLevel="0" collapsed="false">
      <c r="G758" s="25" t="n">
        <v>44869</v>
      </c>
      <c r="H758" s="52" t="s">
        <v>14</v>
      </c>
      <c r="I758" s="5" t="n">
        <v>2.48</v>
      </c>
      <c r="J758" s="0" t="s">
        <v>40</v>
      </c>
      <c r="K758" s="5"/>
      <c r="L758" s="0"/>
      <c r="U758" s="0"/>
      <c r="V758" s="0"/>
      <c r="W758" s="0"/>
      <c r="X758" s="0"/>
      <c r="Y758" s="0"/>
    </row>
    <row r="759" customFormat="false" ht="12.8" hidden="false" customHeight="false" outlineLevel="0" collapsed="false">
      <c r="G759" s="25" t="n">
        <v>44869</v>
      </c>
      <c r="H759" s="52" t="s">
        <v>14</v>
      </c>
      <c r="I759" s="5" t="n">
        <v>-2003</v>
      </c>
      <c r="J759" s="10" t="s">
        <v>66</v>
      </c>
      <c r="K759" s="5"/>
      <c r="L759" s="0"/>
      <c r="U759" s="0"/>
      <c r="V759" s="0"/>
      <c r="W759" s="0"/>
      <c r="X759" s="0"/>
      <c r="Y759" s="0"/>
    </row>
    <row r="760" customFormat="false" ht="12.8" hidden="false" customHeight="false" outlineLevel="0" collapsed="false">
      <c r="G760" s="25" t="n">
        <v>44869</v>
      </c>
      <c r="H760" s="48" t="s">
        <v>26</v>
      </c>
      <c r="I760" s="5" t="n">
        <v>2003</v>
      </c>
      <c r="J760" s="10" t="s">
        <v>66</v>
      </c>
      <c r="K760" s="5"/>
      <c r="L760" s="0"/>
      <c r="U760" s="0"/>
      <c r="V760" s="0"/>
      <c r="W760" s="0"/>
      <c r="X760" s="0"/>
      <c r="Y760" s="0"/>
    </row>
    <row r="761" customFormat="false" ht="12.8" hidden="false" customHeight="false" outlineLevel="0" collapsed="false">
      <c r="G761" s="25" t="n">
        <v>44869</v>
      </c>
      <c r="H761" s="48" t="s">
        <v>26</v>
      </c>
      <c r="I761" s="5" t="n">
        <v>-2000</v>
      </c>
      <c r="J761" s="55" t="s">
        <v>68</v>
      </c>
      <c r="K761" s="0"/>
      <c r="L761" s="0"/>
      <c r="U761" s="0"/>
      <c r="V761" s="0"/>
      <c r="W761" s="0"/>
      <c r="X761" s="0"/>
      <c r="Y761" s="0"/>
    </row>
    <row r="762" customFormat="false" ht="12.8" hidden="false" customHeight="false" outlineLevel="0" collapsed="false">
      <c r="G762" s="25" t="n">
        <v>44869</v>
      </c>
      <c r="H762" s="48" t="s">
        <v>26</v>
      </c>
      <c r="I762" s="5" t="n">
        <v>-3</v>
      </c>
      <c r="J762" s="55" t="s">
        <v>92</v>
      </c>
      <c r="K762" s="0"/>
      <c r="L762" s="0"/>
      <c r="U762" s="0"/>
      <c r="V762" s="0"/>
      <c r="W762" s="0"/>
      <c r="X762" s="0"/>
      <c r="Y762" s="0"/>
    </row>
    <row r="763" customFormat="false" ht="12.8" hidden="false" customHeight="false" outlineLevel="0" collapsed="false">
      <c r="G763" s="25" t="n">
        <v>44869</v>
      </c>
      <c r="H763" s="32" t="s">
        <v>15</v>
      </c>
      <c r="I763" s="5" t="n">
        <v>2000</v>
      </c>
      <c r="J763" s="55" t="s">
        <v>68</v>
      </c>
      <c r="K763" s="0"/>
      <c r="L763" s="0"/>
      <c r="U763" s="0"/>
      <c r="V763" s="0"/>
      <c r="W763" s="0"/>
      <c r="X763" s="0"/>
      <c r="Y763" s="0"/>
    </row>
    <row r="764" customFormat="false" ht="12.8" hidden="false" customHeight="false" outlineLevel="0" collapsed="false">
      <c r="G764" s="25" t="n">
        <v>44869</v>
      </c>
      <c r="H764" s="32" t="s">
        <v>15</v>
      </c>
      <c r="I764" s="5" t="n">
        <v>-2004.62</v>
      </c>
      <c r="J764" s="54" t="s">
        <v>104</v>
      </c>
      <c r="K764" s="0"/>
      <c r="L764" s="0"/>
      <c r="U764" s="0"/>
      <c r="V764" s="0"/>
      <c r="W764" s="0"/>
      <c r="X764" s="0"/>
      <c r="Y764" s="0"/>
    </row>
    <row r="765" customFormat="false" ht="12.8" hidden="false" customHeight="false" outlineLevel="0" collapsed="false">
      <c r="G765" s="25" t="n">
        <v>44869</v>
      </c>
      <c r="H765" s="26" t="s">
        <v>10</v>
      </c>
      <c r="I765" s="5" t="n">
        <v>2004.62</v>
      </c>
      <c r="J765" s="54" t="s">
        <v>104</v>
      </c>
      <c r="K765" s="0"/>
      <c r="L765" s="0"/>
      <c r="U765" s="0"/>
      <c r="V765" s="0"/>
      <c r="W765" s="0"/>
      <c r="X765" s="0"/>
      <c r="Y765" s="0"/>
    </row>
    <row r="766" customFormat="false" ht="12.8" hidden="false" customHeight="false" outlineLevel="0" collapsed="false">
      <c r="G766" s="25" t="n">
        <v>44869</v>
      </c>
      <c r="H766" s="41" t="s">
        <v>23</v>
      </c>
      <c r="I766" s="5" t="n">
        <v>-62.43</v>
      </c>
      <c r="J766" s="0" t="s">
        <v>103</v>
      </c>
      <c r="K766" s="0"/>
      <c r="L766" s="0"/>
      <c r="U766" s="0"/>
      <c r="V766" s="0"/>
      <c r="W766" s="0"/>
      <c r="X766" s="0"/>
      <c r="Y766" s="0"/>
    </row>
    <row r="767" customFormat="false" ht="12.8" hidden="false" customHeight="false" outlineLevel="0" collapsed="false">
      <c r="G767" s="25" t="n">
        <v>44870</v>
      </c>
      <c r="H767" s="41" t="s">
        <v>23</v>
      </c>
      <c r="I767" s="5" t="n">
        <v>-67</v>
      </c>
      <c r="J767" s="0" t="s">
        <v>37</v>
      </c>
      <c r="K767" s="0"/>
      <c r="L767" s="0"/>
      <c r="U767" s="0"/>
      <c r="V767" s="0"/>
      <c r="W767" s="0"/>
      <c r="X767" s="0"/>
      <c r="Y767" s="0"/>
    </row>
    <row r="768" customFormat="false" ht="12.8" hidden="false" customHeight="false" outlineLevel="0" collapsed="false">
      <c r="G768" s="25" t="n">
        <v>44871</v>
      </c>
      <c r="H768" s="41" t="s">
        <v>23</v>
      </c>
      <c r="I768" s="5" t="n">
        <v>-67.5</v>
      </c>
      <c r="J768" s="0" t="s">
        <v>37</v>
      </c>
      <c r="K768" s="0"/>
      <c r="L768" s="0"/>
      <c r="U768" s="0"/>
      <c r="V768" s="0"/>
      <c r="W768" s="0"/>
      <c r="X768" s="0"/>
      <c r="Y768" s="0"/>
    </row>
    <row r="769" customFormat="false" ht="12.8" hidden="false" customHeight="false" outlineLevel="0" collapsed="false">
      <c r="G769" s="25" t="n">
        <v>44872</v>
      </c>
      <c r="H769" s="41" t="s">
        <v>23</v>
      </c>
      <c r="I769" s="5" t="n">
        <v>-67.5</v>
      </c>
      <c r="J769" s="0" t="s">
        <v>37</v>
      </c>
      <c r="K769" s="0"/>
      <c r="L769" s="0"/>
      <c r="U769" s="0"/>
      <c r="V769" s="0"/>
      <c r="W769" s="0"/>
      <c r="X769" s="0"/>
      <c r="Y769" s="0"/>
    </row>
    <row r="770" customFormat="false" ht="12.8" hidden="false" customHeight="false" outlineLevel="0" collapsed="false">
      <c r="G770" s="25" t="n">
        <v>44873</v>
      </c>
      <c r="H770" s="41" t="s">
        <v>23</v>
      </c>
      <c r="I770" s="5" t="n">
        <v>-67.5</v>
      </c>
      <c r="J770" s="0" t="s">
        <v>37</v>
      </c>
      <c r="K770" s="0"/>
      <c r="L770" s="0"/>
      <c r="U770" s="0"/>
      <c r="V770" s="0"/>
      <c r="W770" s="0"/>
      <c r="X770" s="0"/>
      <c r="Y770" s="0"/>
    </row>
    <row r="771" customFormat="false" ht="12.8" hidden="false" customHeight="false" outlineLevel="0" collapsed="false">
      <c r="G771" s="25" t="n">
        <v>44873</v>
      </c>
      <c r="H771" s="26" t="s">
        <v>10</v>
      </c>
      <c r="I771" s="5" t="n">
        <v>-607</v>
      </c>
      <c r="J771" s="54" t="s">
        <v>38</v>
      </c>
      <c r="K771" s="0"/>
      <c r="L771" s="0"/>
      <c r="U771" s="0"/>
      <c r="V771" s="0"/>
      <c r="W771" s="0"/>
      <c r="X771" s="0"/>
      <c r="Y771" s="0"/>
    </row>
    <row r="772" customFormat="false" ht="12.8" hidden="false" customHeight="false" outlineLevel="0" collapsed="false">
      <c r="G772" s="25" t="n">
        <v>44873</v>
      </c>
      <c r="H772" s="32" t="s">
        <v>15</v>
      </c>
      <c r="I772" s="5" t="n">
        <v>607</v>
      </c>
      <c r="J772" s="54" t="s">
        <v>38</v>
      </c>
      <c r="K772" s="0"/>
      <c r="L772" s="0"/>
      <c r="U772" s="0"/>
      <c r="V772" s="0"/>
      <c r="W772" s="0"/>
      <c r="X772" s="0"/>
      <c r="Y772" s="0"/>
    </row>
    <row r="773" customFormat="false" ht="12.8" hidden="false" customHeight="false" outlineLevel="0" collapsed="false">
      <c r="G773" s="25" t="n">
        <v>44873</v>
      </c>
      <c r="H773" s="32" t="s">
        <v>15</v>
      </c>
      <c r="I773" s="5" t="n">
        <v>-607</v>
      </c>
      <c r="J773" s="0" t="s">
        <v>56</v>
      </c>
      <c r="K773" s="0"/>
      <c r="L773" s="0"/>
      <c r="U773" s="0"/>
      <c r="V773" s="0"/>
      <c r="W773" s="0"/>
      <c r="X773" s="0"/>
      <c r="Y773" s="0"/>
    </row>
    <row r="774" customFormat="false" ht="12.8" hidden="false" customHeight="false" outlineLevel="0" collapsed="false">
      <c r="G774" s="25" t="n">
        <v>44873</v>
      </c>
      <c r="H774" s="48" t="s">
        <v>26</v>
      </c>
      <c r="I774" s="5" t="n">
        <v>607</v>
      </c>
      <c r="J774" s="0" t="s">
        <v>56</v>
      </c>
      <c r="K774" s="55"/>
      <c r="L774" s="0"/>
      <c r="U774" s="0"/>
      <c r="V774" s="0"/>
      <c r="W774" s="0"/>
      <c r="X774" s="0"/>
      <c r="Y774" s="0"/>
    </row>
    <row r="775" customFormat="false" ht="12.8" hidden="false" customHeight="false" outlineLevel="0" collapsed="false">
      <c r="G775" s="25" t="n">
        <v>44873</v>
      </c>
      <c r="H775" s="48" t="s">
        <v>26</v>
      </c>
      <c r="I775" s="5" t="n">
        <v>-607</v>
      </c>
      <c r="J775" s="0" t="s">
        <v>105</v>
      </c>
      <c r="K775" s="5"/>
      <c r="L775" s="0"/>
      <c r="U775" s="0"/>
      <c r="V775" s="0"/>
      <c r="W775" s="0"/>
      <c r="X775" s="0"/>
      <c r="Y775" s="0"/>
    </row>
    <row r="776" customFormat="false" ht="12.8" hidden="false" customHeight="false" outlineLevel="0" collapsed="false">
      <c r="G776" s="25" t="n">
        <v>44873</v>
      </c>
      <c r="H776" s="52" t="s">
        <v>14</v>
      </c>
      <c r="I776" s="5" t="n">
        <v>607</v>
      </c>
      <c r="J776" s="0" t="s">
        <v>105</v>
      </c>
      <c r="K776" s="5"/>
      <c r="L776" s="0"/>
      <c r="U776" s="0"/>
      <c r="V776" s="0"/>
      <c r="W776" s="0"/>
      <c r="X776" s="0"/>
      <c r="Y776" s="0"/>
    </row>
    <row r="777" customFormat="false" ht="12.8" hidden="false" customHeight="false" outlineLevel="0" collapsed="false">
      <c r="G777" s="25" t="n">
        <v>44873</v>
      </c>
      <c r="H777" s="52" t="s">
        <v>14</v>
      </c>
      <c r="I777" s="5" t="n">
        <v>1.48</v>
      </c>
      <c r="J777" s="0" t="s">
        <v>40</v>
      </c>
      <c r="K777" s="5"/>
      <c r="L777" s="0"/>
      <c r="U777" s="0"/>
      <c r="V777" s="0"/>
      <c r="W777" s="0"/>
      <c r="X777" s="0"/>
      <c r="Y777" s="0"/>
    </row>
    <row r="778" customFormat="false" ht="12.8" hidden="false" customHeight="false" outlineLevel="0" collapsed="false">
      <c r="G778" s="25" t="n">
        <v>44874</v>
      </c>
      <c r="H778" s="41" t="s">
        <v>23</v>
      </c>
      <c r="I778" s="5" t="n">
        <v>-67.5</v>
      </c>
      <c r="J778" s="0" t="s">
        <v>37</v>
      </c>
      <c r="K778" s="5"/>
      <c r="L778" s="0"/>
      <c r="U778" s="0"/>
      <c r="V778" s="0"/>
      <c r="W778" s="0"/>
      <c r="X778" s="0"/>
      <c r="Y778" s="0"/>
    </row>
    <row r="779" customFormat="false" ht="12.8" hidden="false" customHeight="false" outlineLevel="0" collapsed="false">
      <c r="G779" s="25" t="n">
        <v>44874</v>
      </c>
      <c r="H779" s="41" t="s">
        <v>23</v>
      </c>
      <c r="I779" s="5" t="n">
        <v>-270</v>
      </c>
      <c r="J779" s="0" t="s">
        <v>46</v>
      </c>
      <c r="K779" s="5"/>
      <c r="L779" s="0"/>
      <c r="U779" s="0"/>
      <c r="V779" s="0"/>
      <c r="W779" s="0"/>
      <c r="X779" s="0"/>
      <c r="Y779" s="0"/>
    </row>
    <row r="780" customFormat="false" ht="12.8" hidden="false" customHeight="false" outlineLevel="0" collapsed="false">
      <c r="G780" s="25" t="n">
        <v>44875</v>
      </c>
      <c r="H780" s="26" t="s">
        <v>10</v>
      </c>
      <c r="I780" s="5" t="n">
        <v>-125</v>
      </c>
      <c r="J780" s="54" t="s">
        <v>38</v>
      </c>
      <c r="K780" s="5"/>
      <c r="L780" s="0"/>
      <c r="U780" s="0"/>
      <c r="V780" s="0"/>
      <c r="W780" s="0"/>
      <c r="X780" s="0"/>
      <c r="Y780" s="0"/>
    </row>
    <row r="781" customFormat="false" ht="12.8" hidden="false" customHeight="false" outlineLevel="0" collapsed="false">
      <c r="G781" s="25" t="n">
        <v>44875</v>
      </c>
      <c r="H781" s="32" t="s">
        <v>15</v>
      </c>
      <c r="I781" s="5" t="n">
        <v>125</v>
      </c>
      <c r="J781" s="54" t="s">
        <v>38</v>
      </c>
      <c r="K781" s="5"/>
      <c r="L781" s="0"/>
      <c r="U781" s="0"/>
      <c r="V781" s="0"/>
      <c r="W781" s="0"/>
      <c r="X781" s="0"/>
      <c r="Y781" s="0"/>
    </row>
    <row r="782" customFormat="false" ht="12.8" hidden="false" customHeight="false" outlineLevel="0" collapsed="false">
      <c r="G782" s="25" t="n">
        <v>44875</v>
      </c>
      <c r="H782" s="32" t="s">
        <v>15</v>
      </c>
      <c r="I782" s="5" t="n">
        <v>-124.82</v>
      </c>
      <c r="J782" s="54" t="s">
        <v>47</v>
      </c>
      <c r="K782" s="5"/>
      <c r="L782" s="0"/>
      <c r="U782" s="0"/>
      <c r="V782" s="0"/>
      <c r="W782" s="0"/>
      <c r="X782" s="0"/>
      <c r="Y782" s="0"/>
    </row>
    <row r="783" customFormat="false" ht="12.8" hidden="false" customHeight="false" outlineLevel="0" collapsed="false">
      <c r="G783" s="25" t="n">
        <v>44875</v>
      </c>
      <c r="H783" s="41" t="s">
        <v>23</v>
      </c>
      <c r="I783" s="5" t="n">
        <v>-67.5</v>
      </c>
      <c r="J783" s="0" t="s">
        <v>37</v>
      </c>
      <c r="K783" s="5"/>
      <c r="L783" s="0"/>
      <c r="U783" s="0"/>
      <c r="V783" s="0"/>
      <c r="W783" s="0"/>
      <c r="X783" s="0"/>
      <c r="Y783" s="0"/>
    </row>
    <row r="784" customFormat="false" ht="12.8" hidden="false" customHeight="false" outlineLevel="0" collapsed="false">
      <c r="G784" s="25" t="n">
        <v>44875</v>
      </c>
      <c r="H784" s="41" t="s">
        <v>23</v>
      </c>
      <c r="I784" s="5" t="n">
        <f aca="false">-31.59-9.59</f>
        <v>-41.18</v>
      </c>
      <c r="J784" s="0" t="s">
        <v>37</v>
      </c>
      <c r="K784" s="5"/>
      <c r="L784" s="0"/>
      <c r="U784" s="0"/>
      <c r="V784" s="0"/>
      <c r="W784" s="0"/>
      <c r="X784" s="0"/>
      <c r="Y784" s="0"/>
    </row>
    <row r="785" customFormat="false" ht="12.8" hidden="false" customHeight="false" outlineLevel="0" collapsed="false">
      <c r="G785" s="25" t="n">
        <v>44876</v>
      </c>
      <c r="H785" s="41" t="s">
        <v>23</v>
      </c>
      <c r="I785" s="5" t="n">
        <v>-67.5</v>
      </c>
      <c r="J785" s="0" t="s">
        <v>37</v>
      </c>
      <c r="K785" s="5"/>
      <c r="L785" s="0"/>
      <c r="U785" s="0"/>
      <c r="V785" s="0"/>
      <c r="W785" s="0"/>
      <c r="X785" s="0"/>
      <c r="Y785" s="0"/>
    </row>
    <row r="786" customFormat="false" ht="12.8" hidden="false" customHeight="false" outlineLevel="0" collapsed="false">
      <c r="G786" s="25" t="n">
        <v>44876</v>
      </c>
      <c r="H786" s="41" t="s">
        <v>23</v>
      </c>
      <c r="I786" s="5" t="n">
        <v>-59.41</v>
      </c>
      <c r="J786" s="0" t="s">
        <v>37</v>
      </c>
      <c r="K786" s="0"/>
      <c r="L786" s="0"/>
      <c r="U786" s="0"/>
      <c r="V786" s="0"/>
      <c r="W786" s="0"/>
      <c r="X786" s="0"/>
      <c r="Y786" s="0"/>
    </row>
    <row r="787" customFormat="false" ht="12.8" hidden="false" customHeight="false" outlineLevel="0" collapsed="false">
      <c r="G787" s="25" t="n">
        <v>44877</v>
      </c>
      <c r="H787" s="26" t="s">
        <v>10</v>
      </c>
      <c r="I787" s="5" t="n">
        <v>-70</v>
      </c>
      <c r="J787" s="54" t="s">
        <v>38</v>
      </c>
      <c r="K787" s="5"/>
      <c r="L787" s="0"/>
      <c r="U787" s="0"/>
      <c r="V787" s="0"/>
      <c r="W787" s="0"/>
      <c r="X787" s="0"/>
      <c r="Y787" s="0"/>
    </row>
    <row r="788" customFormat="false" ht="12.8" hidden="false" customHeight="false" outlineLevel="0" collapsed="false">
      <c r="G788" s="25" t="n">
        <v>44877</v>
      </c>
      <c r="H788" s="32" t="s">
        <v>15</v>
      </c>
      <c r="I788" s="5" t="n">
        <v>70</v>
      </c>
      <c r="J788" s="54" t="s">
        <v>38</v>
      </c>
      <c r="K788" s="5"/>
      <c r="L788" s="0"/>
      <c r="U788" s="0"/>
      <c r="V788" s="0"/>
      <c r="W788" s="0"/>
      <c r="X788" s="0"/>
      <c r="Y788" s="0"/>
    </row>
    <row r="789" customFormat="false" ht="12.8" hidden="false" customHeight="false" outlineLevel="0" collapsed="false">
      <c r="G789" s="25" t="n">
        <v>44877</v>
      </c>
      <c r="H789" s="32" t="s">
        <v>15</v>
      </c>
      <c r="I789" s="5" t="n">
        <v>-63.5</v>
      </c>
      <c r="J789" s="54" t="s">
        <v>37</v>
      </c>
      <c r="K789" s="5"/>
      <c r="L789" s="0"/>
      <c r="U789" s="0"/>
      <c r="V789" s="0"/>
      <c r="W789" s="0"/>
      <c r="X789" s="0"/>
      <c r="Y789" s="0"/>
    </row>
    <row r="790" customFormat="false" ht="12.8" hidden="false" customHeight="false" outlineLevel="0" collapsed="false">
      <c r="G790" s="25" t="n">
        <v>44877</v>
      </c>
      <c r="H790" s="26" t="s">
        <v>10</v>
      </c>
      <c r="I790" s="5" t="n">
        <v>-13</v>
      </c>
      <c r="J790" s="54" t="s">
        <v>38</v>
      </c>
      <c r="K790" s="5"/>
      <c r="L790" s="0"/>
      <c r="U790" s="0"/>
      <c r="V790" s="0"/>
      <c r="W790" s="0"/>
      <c r="X790" s="0"/>
      <c r="Y790" s="0"/>
    </row>
    <row r="791" customFormat="false" ht="12.8" hidden="false" customHeight="false" outlineLevel="0" collapsed="false">
      <c r="G791" s="25" t="n">
        <v>44877</v>
      </c>
      <c r="H791" s="32" t="s">
        <v>15</v>
      </c>
      <c r="I791" s="5" t="n">
        <v>13</v>
      </c>
      <c r="J791" s="54" t="s">
        <v>38</v>
      </c>
      <c r="K791" s="5"/>
      <c r="L791" s="0"/>
      <c r="U791" s="0"/>
      <c r="V791" s="0"/>
      <c r="W791" s="0"/>
      <c r="X791" s="0"/>
      <c r="Y791" s="0"/>
    </row>
    <row r="792" customFormat="false" ht="12.8" hidden="false" customHeight="false" outlineLevel="0" collapsed="false">
      <c r="G792" s="25" t="n">
        <v>44877</v>
      </c>
      <c r="H792" s="32" t="s">
        <v>15</v>
      </c>
      <c r="I792" s="5" t="n">
        <v>-19.12</v>
      </c>
      <c r="J792" s="54" t="s">
        <v>37</v>
      </c>
      <c r="K792" s="0"/>
      <c r="L792" s="0"/>
      <c r="U792" s="0"/>
      <c r="V792" s="0"/>
      <c r="W792" s="0"/>
      <c r="X792" s="0"/>
      <c r="Y792" s="0"/>
    </row>
    <row r="793" customFormat="false" ht="12.8" hidden="false" customHeight="false" outlineLevel="0" collapsed="false">
      <c r="G793" s="25" t="n">
        <v>44878</v>
      </c>
      <c r="H793" s="26" t="s">
        <v>10</v>
      </c>
      <c r="I793" s="5" t="n">
        <v>-69</v>
      </c>
      <c r="J793" s="54" t="s">
        <v>38</v>
      </c>
      <c r="K793" s="0"/>
      <c r="L793" s="0"/>
      <c r="U793" s="0"/>
      <c r="V793" s="0"/>
      <c r="W793" s="0"/>
      <c r="X793" s="0"/>
      <c r="Y793" s="0"/>
    </row>
    <row r="794" customFormat="false" ht="12.8" hidden="false" customHeight="false" outlineLevel="0" collapsed="false">
      <c r="G794" s="25" t="n">
        <v>44878</v>
      </c>
      <c r="H794" s="32" t="s">
        <v>15</v>
      </c>
      <c r="I794" s="5" t="n">
        <v>69</v>
      </c>
      <c r="J794" s="54" t="s">
        <v>38</v>
      </c>
      <c r="K794" s="0"/>
      <c r="L794" s="0"/>
      <c r="U794" s="0"/>
      <c r="V794" s="0"/>
      <c r="W794" s="0"/>
      <c r="X794" s="0"/>
      <c r="Y794" s="0"/>
    </row>
    <row r="795" customFormat="false" ht="12.8" hidden="false" customHeight="false" outlineLevel="0" collapsed="false">
      <c r="G795" s="25" t="n">
        <v>44878</v>
      </c>
      <c r="H795" s="32" t="s">
        <v>15</v>
      </c>
      <c r="I795" s="5" t="n">
        <v>-63.5</v>
      </c>
      <c r="J795" s="54" t="s">
        <v>37</v>
      </c>
      <c r="K795" s="0"/>
      <c r="L795" s="0"/>
      <c r="U795" s="0"/>
      <c r="V795" s="0"/>
      <c r="W795" s="0"/>
      <c r="X795" s="0"/>
      <c r="Y795" s="0"/>
    </row>
    <row r="796" customFormat="false" ht="12.8" hidden="false" customHeight="false" outlineLevel="0" collapsed="false">
      <c r="G796" s="25" t="n">
        <v>44878</v>
      </c>
      <c r="H796" s="26" t="s">
        <v>10</v>
      </c>
      <c r="I796" s="5" t="n">
        <v>-24</v>
      </c>
      <c r="J796" s="54" t="s">
        <v>38</v>
      </c>
      <c r="K796" s="0"/>
      <c r="L796" s="0"/>
      <c r="U796" s="0"/>
      <c r="V796" s="0"/>
      <c r="W796" s="0"/>
      <c r="X796" s="0"/>
      <c r="Y796" s="0"/>
    </row>
    <row r="797" customFormat="false" ht="12.8" hidden="false" customHeight="false" outlineLevel="0" collapsed="false">
      <c r="G797" s="25" t="n">
        <v>44878</v>
      </c>
      <c r="H797" s="32" t="s">
        <v>15</v>
      </c>
      <c r="I797" s="5" t="n">
        <v>24</v>
      </c>
      <c r="J797" s="54" t="s">
        <v>38</v>
      </c>
      <c r="K797" s="0"/>
      <c r="L797" s="0"/>
      <c r="U797" s="0"/>
      <c r="V797" s="0"/>
      <c r="W797" s="0"/>
      <c r="X797" s="0"/>
      <c r="Y797" s="0"/>
    </row>
    <row r="798" customFormat="false" ht="12.8" hidden="false" customHeight="false" outlineLevel="0" collapsed="false">
      <c r="G798" s="25" t="n">
        <v>44878</v>
      </c>
      <c r="H798" s="32" t="s">
        <v>15</v>
      </c>
      <c r="I798" s="5" t="n">
        <v>-27.75</v>
      </c>
      <c r="J798" s="54" t="s">
        <v>37</v>
      </c>
      <c r="K798" s="0"/>
      <c r="L798" s="0"/>
      <c r="U798" s="0"/>
      <c r="V798" s="0"/>
      <c r="W798" s="0"/>
      <c r="X798" s="0"/>
      <c r="Y798" s="0"/>
    </row>
    <row r="799" customFormat="false" ht="12.8" hidden="false" customHeight="false" outlineLevel="0" collapsed="false">
      <c r="G799" s="25" t="n">
        <v>44879</v>
      </c>
      <c r="H799" s="26" t="s">
        <v>10</v>
      </c>
      <c r="I799" s="5" t="n">
        <v>-68</v>
      </c>
      <c r="J799" s="54" t="s">
        <v>38</v>
      </c>
      <c r="K799" s="0"/>
      <c r="L799" s="0"/>
      <c r="U799" s="0"/>
      <c r="V799" s="0"/>
      <c r="W799" s="0"/>
      <c r="X799" s="0"/>
      <c r="Y799" s="0"/>
    </row>
    <row r="800" customFormat="false" ht="12.8" hidden="false" customHeight="false" outlineLevel="0" collapsed="false">
      <c r="G800" s="25" t="n">
        <v>44879</v>
      </c>
      <c r="H800" s="32" t="s">
        <v>15</v>
      </c>
      <c r="I800" s="5" t="n">
        <v>68</v>
      </c>
      <c r="J800" s="54" t="s">
        <v>38</v>
      </c>
      <c r="K800" s="0"/>
      <c r="L800" s="0"/>
      <c r="U800" s="0"/>
      <c r="V800" s="0"/>
      <c r="W800" s="0"/>
      <c r="X800" s="0"/>
      <c r="Y800" s="0"/>
    </row>
    <row r="801" customFormat="false" ht="12.8" hidden="false" customHeight="false" outlineLevel="0" collapsed="false">
      <c r="G801" s="25" t="n">
        <v>44879</v>
      </c>
      <c r="H801" s="32" t="s">
        <v>15</v>
      </c>
      <c r="I801" s="5" t="n">
        <v>-55.5</v>
      </c>
      <c r="J801" s="54" t="s">
        <v>37</v>
      </c>
      <c r="K801" s="0"/>
      <c r="L801" s="0"/>
      <c r="U801" s="0"/>
      <c r="V801" s="0"/>
      <c r="W801" s="0"/>
      <c r="X801" s="0"/>
      <c r="Y801" s="0"/>
    </row>
    <row r="802" customFormat="false" ht="12.8" hidden="false" customHeight="false" outlineLevel="0" collapsed="false">
      <c r="G802" s="25" t="n">
        <v>44879</v>
      </c>
      <c r="H802" s="43" t="s">
        <v>23</v>
      </c>
      <c r="I802" s="5" t="n">
        <v>526</v>
      </c>
      <c r="J802" s="10" t="s">
        <v>97</v>
      </c>
      <c r="K802" s="0"/>
      <c r="L802" s="0"/>
      <c r="U802" s="0"/>
      <c r="V802" s="0"/>
      <c r="W802" s="0"/>
      <c r="X802" s="0"/>
      <c r="Y802" s="0"/>
    </row>
    <row r="803" customFormat="false" ht="12.8" hidden="false" customHeight="false" outlineLevel="0" collapsed="false">
      <c r="G803" s="25" t="n">
        <v>44880</v>
      </c>
      <c r="H803" s="43" t="s">
        <v>23</v>
      </c>
      <c r="I803" s="5" t="n">
        <v>-63.5</v>
      </c>
      <c r="J803" s="10" t="s">
        <v>37</v>
      </c>
      <c r="K803" s="0"/>
      <c r="L803" s="0"/>
      <c r="U803" s="0"/>
      <c r="V803" s="0"/>
      <c r="W803" s="0"/>
      <c r="X803" s="0"/>
      <c r="Y803" s="0"/>
    </row>
    <row r="804" customFormat="false" ht="12.8" hidden="false" customHeight="false" outlineLevel="0" collapsed="false">
      <c r="G804" s="25" t="n">
        <v>44880</v>
      </c>
      <c r="H804" s="43" t="s">
        <v>23</v>
      </c>
      <c r="I804" s="5" t="n">
        <v>-24.91</v>
      </c>
      <c r="J804" s="10" t="s">
        <v>37</v>
      </c>
      <c r="K804" s="0"/>
      <c r="L804" s="0"/>
      <c r="U804" s="0"/>
      <c r="V804" s="0"/>
      <c r="W804" s="0"/>
      <c r="X804" s="0"/>
      <c r="Y804" s="0"/>
    </row>
    <row r="805" customFormat="false" ht="12.8" hidden="false" customHeight="false" outlineLevel="0" collapsed="false">
      <c r="G805" s="25" t="n">
        <v>44880</v>
      </c>
      <c r="H805" s="43" t="s">
        <v>23</v>
      </c>
      <c r="I805" s="5" t="n">
        <v>1524</v>
      </c>
      <c r="J805" s="10" t="s">
        <v>96</v>
      </c>
      <c r="K805" s="0"/>
      <c r="L805" s="0"/>
      <c r="U805" s="0"/>
      <c r="V805" s="0"/>
      <c r="W805" s="0"/>
      <c r="X805" s="0"/>
      <c r="Y805" s="0"/>
    </row>
    <row r="806" customFormat="false" ht="12.8" hidden="false" customHeight="false" outlineLevel="0" collapsed="false">
      <c r="G806" s="25" t="n">
        <v>44880</v>
      </c>
      <c r="H806" s="43" t="s">
        <v>23</v>
      </c>
      <c r="I806" s="5" t="n">
        <v>-5</v>
      </c>
      <c r="J806" s="10" t="s">
        <v>43</v>
      </c>
      <c r="K806" s="0"/>
      <c r="L806" s="0"/>
      <c r="U806" s="0"/>
      <c r="V806" s="0"/>
      <c r="W806" s="0"/>
      <c r="X806" s="0"/>
      <c r="Y806" s="0"/>
    </row>
    <row r="807" customFormat="false" ht="12.8" hidden="false" customHeight="false" outlineLevel="0" collapsed="false">
      <c r="G807" s="25" t="n">
        <v>44881</v>
      </c>
      <c r="H807" s="43" t="s">
        <v>23</v>
      </c>
      <c r="I807" s="5" t="n">
        <v>-63.5</v>
      </c>
      <c r="J807" s="10" t="s">
        <v>37</v>
      </c>
      <c r="K807" s="0"/>
      <c r="L807" s="0"/>
      <c r="U807" s="0"/>
      <c r="V807" s="0"/>
      <c r="W807" s="0"/>
      <c r="X807" s="0"/>
      <c r="Y807" s="0"/>
    </row>
    <row r="808" customFormat="false" ht="12.8" hidden="false" customHeight="false" outlineLevel="0" collapsed="false">
      <c r="G808" s="25" t="n">
        <v>44881</v>
      </c>
      <c r="H808" s="43" t="s">
        <v>23</v>
      </c>
      <c r="I808" s="5" t="n">
        <v>-20.08</v>
      </c>
      <c r="J808" s="10" t="s">
        <v>37</v>
      </c>
      <c r="K808" s="0"/>
      <c r="L808" s="0"/>
      <c r="U808" s="0"/>
      <c r="V808" s="0"/>
      <c r="W808" s="0"/>
      <c r="X808" s="0"/>
      <c r="Y808" s="0"/>
    </row>
    <row r="809" customFormat="false" ht="12.8" hidden="false" customHeight="false" outlineLevel="0" collapsed="false">
      <c r="G809" s="25" t="n">
        <v>44881</v>
      </c>
      <c r="H809" s="26" t="s">
        <v>10</v>
      </c>
      <c r="I809" s="5" t="n">
        <v>-231</v>
      </c>
      <c r="J809" s="54" t="s">
        <v>38</v>
      </c>
      <c r="K809" s="0"/>
      <c r="L809" s="0"/>
      <c r="U809" s="0"/>
      <c r="V809" s="0"/>
      <c r="W809" s="0"/>
      <c r="X809" s="0"/>
      <c r="Y809" s="0"/>
    </row>
    <row r="810" customFormat="false" ht="12.8" hidden="false" customHeight="false" outlineLevel="0" collapsed="false">
      <c r="G810" s="25" t="n">
        <v>44881</v>
      </c>
      <c r="H810" s="32" t="s">
        <v>15</v>
      </c>
      <c r="I810" s="5" t="n">
        <v>231</v>
      </c>
      <c r="J810" s="54" t="s">
        <v>38</v>
      </c>
      <c r="K810" s="0"/>
      <c r="L810" s="0"/>
      <c r="U810" s="0"/>
      <c r="V810" s="0"/>
      <c r="W810" s="0"/>
      <c r="X810" s="0"/>
      <c r="Y810" s="0"/>
    </row>
    <row r="811" customFormat="false" ht="12.8" hidden="false" customHeight="false" outlineLevel="0" collapsed="false">
      <c r="G811" s="25" t="n">
        <v>44881</v>
      </c>
      <c r="H811" s="32" t="s">
        <v>15</v>
      </c>
      <c r="I811" s="5" t="n">
        <v>-246</v>
      </c>
      <c r="J811" s="0" t="s">
        <v>56</v>
      </c>
      <c r="K811" s="0"/>
      <c r="L811" s="0"/>
      <c r="U811" s="0"/>
      <c r="V811" s="0"/>
      <c r="W811" s="0"/>
      <c r="X811" s="0"/>
      <c r="Y811" s="0"/>
    </row>
    <row r="812" customFormat="false" ht="12.8" hidden="false" customHeight="false" outlineLevel="0" collapsed="false">
      <c r="G812" s="25" t="n">
        <v>44881</v>
      </c>
      <c r="H812" s="48" t="s">
        <v>26</v>
      </c>
      <c r="I812" s="5" t="n">
        <v>246</v>
      </c>
      <c r="J812" s="0" t="s">
        <v>56</v>
      </c>
      <c r="K812" s="0"/>
      <c r="L812" s="0"/>
      <c r="U812" s="0"/>
      <c r="V812" s="0"/>
      <c r="W812" s="0"/>
      <c r="X812" s="0"/>
      <c r="Y812" s="0"/>
    </row>
    <row r="813" customFormat="false" ht="12.8" hidden="false" customHeight="false" outlineLevel="0" collapsed="false">
      <c r="G813" s="25" t="n">
        <v>44881</v>
      </c>
      <c r="H813" s="48" t="s">
        <v>26</v>
      </c>
      <c r="I813" s="5" t="n">
        <v>-246</v>
      </c>
      <c r="J813" s="0" t="s">
        <v>105</v>
      </c>
      <c r="K813" s="0"/>
      <c r="L813" s="5"/>
      <c r="U813" s="0"/>
      <c r="V813" s="0"/>
      <c r="W813" s="0"/>
      <c r="X813" s="0"/>
      <c r="Y813" s="0"/>
    </row>
    <row r="814" customFormat="false" ht="12.8" hidden="false" customHeight="false" outlineLevel="0" collapsed="false">
      <c r="G814" s="25" t="n">
        <v>44881</v>
      </c>
      <c r="H814" s="52" t="s">
        <v>14</v>
      </c>
      <c r="I814" s="5" t="n">
        <v>246</v>
      </c>
      <c r="J814" s="0" t="s">
        <v>105</v>
      </c>
      <c r="K814" s="0"/>
      <c r="L814" s="5"/>
      <c r="U814" s="0"/>
      <c r="V814" s="0"/>
      <c r="W814" s="0"/>
      <c r="X814" s="0"/>
      <c r="Y814" s="0"/>
    </row>
    <row r="815" customFormat="false" ht="12.8" hidden="false" customHeight="false" outlineLevel="0" collapsed="false">
      <c r="G815" s="25" t="n">
        <v>44881</v>
      </c>
      <c r="H815" s="52" t="s">
        <v>14</v>
      </c>
      <c r="I815" s="5" t="n">
        <v>3.52</v>
      </c>
      <c r="J815" s="0" t="s">
        <v>40</v>
      </c>
      <c r="K815" s="0"/>
      <c r="L815" s="5"/>
      <c r="U815" s="0"/>
      <c r="V815" s="0"/>
      <c r="W815" s="0"/>
      <c r="X815" s="0"/>
      <c r="Y815" s="0"/>
    </row>
    <row r="816" customFormat="false" ht="12.8" hidden="false" customHeight="false" outlineLevel="0" collapsed="false">
      <c r="G816" s="25" t="n">
        <v>44882</v>
      </c>
      <c r="H816" s="43" t="s">
        <v>23</v>
      </c>
      <c r="I816" s="5" t="n">
        <v>-59.5</v>
      </c>
      <c r="J816" s="10" t="s">
        <v>37</v>
      </c>
      <c r="K816" s="0"/>
      <c r="L816" s="5"/>
      <c r="U816" s="0"/>
      <c r="V816" s="0"/>
      <c r="W816" s="0"/>
      <c r="X816" s="0"/>
      <c r="Y816" s="0"/>
    </row>
    <row r="817" customFormat="false" ht="12.8" hidden="false" customHeight="false" outlineLevel="0" collapsed="false">
      <c r="G817" s="25" t="n">
        <v>44882</v>
      </c>
      <c r="H817" s="43" t="s">
        <v>23</v>
      </c>
      <c r="I817" s="5" t="n">
        <v>-24.75</v>
      </c>
      <c r="J817" s="10" t="s">
        <v>37</v>
      </c>
      <c r="K817" s="0"/>
      <c r="L817" s="5"/>
      <c r="U817" s="0"/>
      <c r="V817" s="0"/>
      <c r="W817" s="0"/>
      <c r="X817" s="0"/>
      <c r="Y817" s="0"/>
    </row>
    <row r="818" customFormat="false" ht="12.8" hidden="false" customHeight="false" outlineLevel="0" collapsed="false">
      <c r="G818" s="25" t="n">
        <v>44883</v>
      </c>
      <c r="H818" s="43" t="s">
        <v>23</v>
      </c>
      <c r="I818" s="5" t="n">
        <v>-66.79</v>
      </c>
      <c r="J818" s="10" t="s">
        <v>37</v>
      </c>
      <c r="K818" s="0"/>
      <c r="L818" s="0"/>
      <c r="U818" s="0"/>
      <c r="V818" s="0"/>
      <c r="W818" s="0"/>
      <c r="X818" s="0"/>
      <c r="Y818" s="0"/>
    </row>
    <row r="819" customFormat="false" ht="12.8" hidden="false" customHeight="false" outlineLevel="0" collapsed="false">
      <c r="G819" s="25" t="n">
        <v>44883</v>
      </c>
      <c r="H819" s="43" t="s">
        <v>23</v>
      </c>
      <c r="I819" s="5" t="n">
        <v>-301.23</v>
      </c>
      <c r="J819" s="0" t="s">
        <v>52</v>
      </c>
      <c r="K819" s="0"/>
      <c r="L819" s="0"/>
      <c r="U819" s="0"/>
      <c r="V819" s="0"/>
      <c r="W819" s="0"/>
      <c r="X819" s="0"/>
      <c r="Y819" s="0"/>
    </row>
    <row r="820" customFormat="false" ht="12.8" hidden="false" customHeight="false" outlineLevel="0" collapsed="false">
      <c r="G820" s="25" t="n">
        <v>44883</v>
      </c>
      <c r="H820" s="43" t="s">
        <v>23</v>
      </c>
      <c r="I820" s="5" t="n">
        <v>-27.11</v>
      </c>
      <c r="J820" s="10" t="s">
        <v>37</v>
      </c>
      <c r="K820" s="0"/>
      <c r="L820" s="0"/>
      <c r="U820" s="0"/>
      <c r="V820" s="0"/>
      <c r="W820" s="0"/>
      <c r="X820" s="0"/>
      <c r="Y820" s="0"/>
    </row>
    <row r="821" customFormat="false" ht="12.8" hidden="false" customHeight="false" outlineLevel="0" collapsed="false">
      <c r="G821" s="25" t="n">
        <v>44884</v>
      </c>
      <c r="H821" s="43" t="s">
        <v>23</v>
      </c>
      <c r="I821" s="5" t="n">
        <v>-63.5</v>
      </c>
      <c r="J821" s="10" t="s">
        <v>37</v>
      </c>
      <c r="K821" s="0"/>
      <c r="L821" s="0"/>
      <c r="U821" s="0"/>
      <c r="V821" s="0"/>
      <c r="W821" s="0"/>
      <c r="X821" s="0"/>
      <c r="Y821" s="0"/>
    </row>
    <row r="822" customFormat="false" ht="12.8" hidden="false" customHeight="false" outlineLevel="0" collapsed="false">
      <c r="G822" s="25" t="n">
        <v>44884</v>
      </c>
      <c r="H822" s="43" t="s">
        <v>23</v>
      </c>
      <c r="I822" s="5" t="n">
        <v>-22.58</v>
      </c>
      <c r="J822" s="10" t="s">
        <v>37</v>
      </c>
      <c r="K822" s="0"/>
      <c r="L822" s="0"/>
      <c r="U822" s="0"/>
      <c r="V822" s="0"/>
      <c r="W822" s="0"/>
      <c r="X822" s="0"/>
      <c r="Y822" s="0"/>
    </row>
    <row r="823" customFormat="false" ht="12.8" hidden="false" customHeight="false" outlineLevel="0" collapsed="false">
      <c r="G823" s="25" t="n">
        <v>44885</v>
      </c>
      <c r="H823" s="43" t="s">
        <v>23</v>
      </c>
      <c r="I823" s="5" t="n">
        <v>-18.56</v>
      </c>
      <c r="J823" s="10" t="s">
        <v>37</v>
      </c>
      <c r="K823" s="0"/>
      <c r="L823" s="0"/>
      <c r="U823" s="0"/>
      <c r="V823" s="0"/>
      <c r="W823" s="0"/>
      <c r="X823" s="0"/>
      <c r="Y823" s="0"/>
    </row>
    <row r="824" customFormat="false" ht="12.8" hidden="false" customHeight="false" outlineLevel="0" collapsed="false">
      <c r="G824" s="25" t="n">
        <v>44885</v>
      </c>
      <c r="H824" s="43" t="s">
        <v>23</v>
      </c>
      <c r="I824" s="5" t="n">
        <v>-63.5</v>
      </c>
      <c r="J824" s="10" t="s">
        <v>37</v>
      </c>
      <c r="K824" s="0"/>
      <c r="L824" s="0"/>
      <c r="U824" s="0"/>
      <c r="V824" s="0"/>
      <c r="W824" s="0"/>
      <c r="X824" s="0"/>
      <c r="Y824" s="0"/>
    </row>
    <row r="825" customFormat="false" ht="12.8" hidden="false" customHeight="false" outlineLevel="0" collapsed="false">
      <c r="G825" s="25" t="n">
        <v>44885</v>
      </c>
      <c r="H825" s="43" t="s">
        <v>23</v>
      </c>
      <c r="I825" s="5" t="n">
        <v>-63.5</v>
      </c>
      <c r="J825" s="65" t="s">
        <v>106</v>
      </c>
      <c r="K825" s="0"/>
      <c r="L825" s="0"/>
      <c r="U825" s="0"/>
      <c r="V825" s="0"/>
      <c r="W825" s="0"/>
      <c r="X825" s="0"/>
      <c r="Y825" s="0"/>
    </row>
    <row r="826" customFormat="false" ht="12.8" hidden="false" customHeight="false" outlineLevel="0" collapsed="false">
      <c r="G826" s="25" t="n">
        <v>44886</v>
      </c>
      <c r="H826" s="43" t="s">
        <v>23</v>
      </c>
      <c r="I826" s="5" t="n">
        <v>-95.39</v>
      </c>
      <c r="J826" s="10" t="s">
        <v>53</v>
      </c>
      <c r="K826" s="5"/>
      <c r="L826" s="0"/>
      <c r="U826" s="0"/>
      <c r="V826" s="0"/>
      <c r="W826" s="0"/>
      <c r="X826" s="0"/>
      <c r="Y826" s="0"/>
    </row>
    <row r="827" customFormat="false" ht="12.8" hidden="false" customHeight="false" outlineLevel="0" collapsed="false">
      <c r="G827" s="25" t="n">
        <v>44886</v>
      </c>
      <c r="H827" s="43" t="s">
        <v>23</v>
      </c>
      <c r="I827" s="5" t="n">
        <v>-66.02</v>
      </c>
      <c r="J827" s="10" t="s">
        <v>48</v>
      </c>
      <c r="K827" s="0"/>
      <c r="L827" s="0"/>
      <c r="U827" s="0"/>
      <c r="V827" s="0"/>
      <c r="W827" s="0"/>
      <c r="X827" s="0"/>
      <c r="Y827" s="0"/>
    </row>
    <row r="828" customFormat="false" ht="12.8" hidden="false" customHeight="false" outlineLevel="0" collapsed="false">
      <c r="G828" s="25" t="n">
        <v>44886</v>
      </c>
      <c r="H828" s="43" t="s">
        <v>23</v>
      </c>
      <c r="I828" s="5" t="n">
        <f aca="false">-55.5-18.5</f>
        <v>-74</v>
      </c>
      <c r="J828" s="10" t="s">
        <v>37</v>
      </c>
      <c r="K828" s="0"/>
      <c r="L828" s="0"/>
      <c r="U828" s="0"/>
      <c r="V828" s="0"/>
      <c r="W828" s="0"/>
      <c r="X828" s="0"/>
      <c r="Y828" s="0"/>
    </row>
    <row r="829" customFormat="false" ht="12.8" hidden="false" customHeight="false" outlineLevel="0" collapsed="false">
      <c r="G829" s="25" t="n">
        <v>44886</v>
      </c>
      <c r="H829" s="43" t="s">
        <v>23</v>
      </c>
      <c r="I829" s="5" t="n">
        <v>-17.24</v>
      </c>
      <c r="J829" s="10" t="s">
        <v>37</v>
      </c>
      <c r="K829" s="0"/>
      <c r="L829" s="0"/>
      <c r="U829" s="0"/>
      <c r="V829" s="0"/>
      <c r="W829" s="0"/>
      <c r="X829" s="0"/>
      <c r="Y829" s="0"/>
    </row>
    <row r="830" customFormat="false" ht="12.8" hidden="false" customHeight="false" outlineLevel="0" collapsed="false">
      <c r="G830" s="25" t="n">
        <v>44887</v>
      </c>
      <c r="H830" s="43" t="s">
        <v>23</v>
      </c>
      <c r="I830" s="5" t="n">
        <v>-63.5</v>
      </c>
      <c r="J830" s="10" t="s">
        <v>37</v>
      </c>
      <c r="K830" s="0"/>
      <c r="L830" s="0"/>
      <c r="U830" s="0"/>
      <c r="V830" s="0"/>
      <c r="W830" s="0"/>
      <c r="X830" s="0"/>
      <c r="Y830" s="0"/>
    </row>
    <row r="831" customFormat="false" ht="12.8" hidden="false" customHeight="false" outlineLevel="0" collapsed="false">
      <c r="G831" s="25" t="n">
        <v>44887</v>
      </c>
      <c r="H831" s="43" t="s">
        <v>23</v>
      </c>
      <c r="I831" s="5" t="n">
        <v>-21.75</v>
      </c>
      <c r="J831" s="10" t="s">
        <v>37</v>
      </c>
      <c r="K831" s="0"/>
      <c r="L831" s="0"/>
      <c r="U831" s="0"/>
      <c r="V831" s="0"/>
      <c r="W831" s="0"/>
      <c r="X831" s="0"/>
      <c r="Y831" s="0"/>
    </row>
    <row r="832" customFormat="false" ht="12.8" hidden="false" customHeight="false" outlineLevel="0" collapsed="false">
      <c r="G832" s="25" t="n">
        <v>44888</v>
      </c>
      <c r="H832" s="43" t="s">
        <v>23</v>
      </c>
      <c r="I832" s="5" t="n">
        <v>-63.5</v>
      </c>
      <c r="J832" s="10" t="s">
        <v>37</v>
      </c>
      <c r="K832" s="0"/>
      <c r="L832" s="0"/>
      <c r="U832" s="0"/>
      <c r="V832" s="0"/>
      <c r="W832" s="0"/>
      <c r="X832" s="0"/>
      <c r="Y832" s="0"/>
    </row>
    <row r="833" customFormat="false" ht="12.8" hidden="false" customHeight="false" outlineLevel="0" collapsed="false">
      <c r="G833" s="25" t="n">
        <v>44888</v>
      </c>
      <c r="H833" s="43" t="s">
        <v>23</v>
      </c>
      <c r="I833" s="5" t="n">
        <f aca="false">-19.43-25.31</f>
        <v>-44.74</v>
      </c>
      <c r="J833" s="10" t="s">
        <v>37</v>
      </c>
      <c r="K833" s="0"/>
      <c r="L833" s="0"/>
      <c r="U833" s="0"/>
      <c r="V833" s="0"/>
      <c r="W833" s="0"/>
      <c r="X833" s="0"/>
      <c r="Y833" s="0"/>
    </row>
    <row r="834" customFormat="false" ht="12.8" hidden="false" customHeight="false" outlineLevel="0" collapsed="false">
      <c r="G834" s="25" t="n">
        <v>44889</v>
      </c>
      <c r="H834" s="43" t="s">
        <v>23</v>
      </c>
      <c r="I834" s="5" t="n">
        <v>-55.5</v>
      </c>
      <c r="J834" s="10" t="s">
        <v>37</v>
      </c>
      <c r="K834" s="0"/>
      <c r="L834" s="0"/>
      <c r="U834" s="0"/>
      <c r="V834" s="0"/>
      <c r="W834" s="0"/>
      <c r="X834" s="0"/>
      <c r="Y834" s="0"/>
    </row>
    <row r="835" customFormat="false" ht="12.8" hidden="false" customHeight="false" outlineLevel="0" collapsed="false">
      <c r="G835" s="25" t="n">
        <v>44889</v>
      </c>
      <c r="H835" s="43" t="s">
        <v>23</v>
      </c>
      <c r="I835" s="5" t="n">
        <v>-19.64</v>
      </c>
      <c r="J835" s="10" t="s">
        <v>37</v>
      </c>
      <c r="K835" s="0"/>
      <c r="L835" s="0"/>
      <c r="U835" s="0"/>
      <c r="V835" s="0"/>
      <c r="W835" s="0"/>
      <c r="X835" s="0"/>
      <c r="Y835" s="0"/>
    </row>
    <row r="836" customFormat="false" ht="12.8" hidden="false" customHeight="false" outlineLevel="0" collapsed="false">
      <c r="G836" s="25" t="n">
        <v>44889</v>
      </c>
      <c r="H836" s="26" t="s">
        <v>10</v>
      </c>
      <c r="I836" s="5" t="n">
        <v>-250</v>
      </c>
      <c r="J836" s="54" t="s">
        <v>38</v>
      </c>
      <c r="K836" s="0"/>
      <c r="L836" s="0"/>
      <c r="U836" s="0"/>
      <c r="V836" s="0"/>
      <c r="W836" s="0"/>
      <c r="X836" s="0"/>
      <c r="Y836" s="0"/>
    </row>
    <row r="837" customFormat="false" ht="12.8" hidden="false" customHeight="false" outlineLevel="0" collapsed="false">
      <c r="G837" s="25" t="n">
        <v>44889</v>
      </c>
      <c r="H837" s="32" t="s">
        <v>15</v>
      </c>
      <c r="I837" s="5" t="n">
        <v>250</v>
      </c>
      <c r="J837" s="54" t="s">
        <v>38</v>
      </c>
      <c r="K837" s="0"/>
      <c r="L837" s="0"/>
      <c r="U837" s="0"/>
      <c r="V837" s="0"/>
      <c r="W837" s="0"/>
      <c r="X837" s="0"/>
      <c r="Y837" s="0"/>
    </row>
    <row r="838" customFormat="false" ht="12.8" hidden="false" customHeight="false" outlineLevel="0" collapsed="false">
      <c r="G838" s="25" t="n">
        <v>44889</v>
      </c>
      <c r="H838" s="32" t="s">
        <v>15</v>
      </c>
      <c r="I838" s="5" t="n">
        <v>-100</v>
      </c>
      <c r="J838" s="0" t="s">
        <v>56</v>
      </c>
      <c r="K838" s="0"/>
      <c r="L838" s="0"/>
      <c r="U838" s="0"/>
      <c r="V838" s="0"/>
      <c r="W838" s="0"/>
      <c r="X838" s="0"/>
      <c r="Y838" s="0"/>
    </row>
    <row r="839" customFormat="false" ht="12.8" hidden="false" customHeight="false" outlineLevel="0" collapsed="false">
      <c r="G839" s="25" t="n">
        <v>44889</v>
      </c>
      <c r="H839" s="48" t="s">
        <v>26</v>
      </c>
      <c r="I839" s="5" t="n">
        <v>100</v>
      </c>
      <c r="J839" s="0" t="s">
        <v>56</v>
      </c>
      <c r="K839" s="0"/>
      <c r="L839" s="0"/>
      <c r="U839" s="0"/>
      <c r="V839" s="0"/>
      <c r="W839" s="0"/>
      <c r="X839" s="0"/>
      <c r="Y839" s="0"/>
    </row>
    <row r="840" customFormat="false" ht="12.8" hidden="false" customHeight="false" outlineLevel="0" collapsed="false">
      <c r="G840" s="25" t="n">
        <v>44890</v>
      </c>
      <c r="H840" s="32" t="s">
        <v>15</v>
      </c>
      <c r="I840" s="5" t="n">
        <v>-150</v>
      </c>
      <c r="J840" s="54" t="s">
        <v>107</v>
      </c>
      <c r="K840" s="0"/>
      <c r="L840" s="0"/>
      <c r="U840" s="0"/>
      <c r="V840" s="0"/>
      <c r="W840" s="0"/>
      <c r="X840" s="0"/>
      <c r="Y840" s="0"/>
    </row>
    <row r="841" customFormat="false" ht="11.25" hidden="false" customHeight="true" outlineLevel="0" collapsed="false">
      <c r="G841" s="25" t="n">
        <v>44890</v>
      </c>
      <c r="H841" s="43" t="s">
        <v>23</v>
      </c>
      <c r="I841" s="5" t="n">
        <v>-59.5</v>
      </c>
      <c r="J841" s="10" t="s">
        <v>37</v>
      </c>
      <c r="K841" s="0"/>
      <c r="L841" s="0"/>
      <c r="U841" s="0"/>
      <c r="V841" s="0"/>
      <c r="W841" s="0"/>
      <c r="X841" s="0"/>
      <c r="Y841" s="0"/>
    </row>
    <row r="842" customFormat="false" ht="12.8" hidden="false" customHeight="false" outlineLevel="0" collapsed="false">
      <c r="G842" s="25" t="n">
        <v>44890</v>
      </c>
      <c r="H842" s="43" t="s">
        <v>23</v>
      </c>
      <c r="I842" s="5" t="n">
        <v>-21.16</v>
      </c>
      <c r="J842" s="10" t="s">
        <v>37</v>
      </c>
      <c r="K842" s="0"/>
      <c r="L842" s="0"/>
      <c r="U842" s="0"/>
      <c r="V842" s="0"/>
      <c r="W842" s="0"/>
      <c r="X842" s="0"/>
      <c r="Y842" s="0"/>
    </row>
    <row r="843" customFormat="false" ht="12.8" hidden="false" customHeight="false" outlineLevel="0" collapsed="false">
      <c r="G843" s="25" t="n">
        <v>44891</v>
      </c>
      <c r="H843" s="43" t="s">
        <v>23</v>
      </c>
      <c r="I843" s="5" t="n">
        <v>-37</v>
      </c>
      <c r="J843" s="10" t="s">
        <v>37</v>
      </c>
      <c r="K843" s="0"/>
      <c r="L843" s="0"/>
      <c r="U843" s="0"/>
      <c r="V843" s="0"/>
      <c r="W843" s="0"/>
      <c r="X843" s="0"/>
      <c r="Y843" s="0"/>
    </row>
    <row r="844" customFormat="false" ht="12.8" hidden="false" customHeight="false" outlineLevel="0" collapsed="false">
      <c r="G844" s="25" t="n">
        <v>44891</v>
      </c>
      <c r="H844" s="43" t="s">
        <v>23</v>
      </c>
      <c r="I844" s="5" t="n">
        <v>-39.82</v>
      </c>
      <c r="J844" s="10" t="s">
        <v>37</v>
      </c>
      <c r="K844" s="0"/>
      <c r="L844" s="0"/>
      <c r="U844" s="0"/>
      <c r="V844" s="0"/>
      <c r="W844" s="0"/>
      <c r="X844" s="0"/>
      <c r="Y844" s="0"/>
    </row>
    <row r="845" customFormat="false" ht="12.8" hidden="false" customHeight="false" outlineLevel="0" collapsed="false">
      <c r="G845" s="25" t="n">
        <v>44892</v>
      </c>
      <c r="H845" s="43" t="s">
        <v>23</v>
      </c>
      <c r="I845" s="5" t="n">
        <v>-59.5</v>
      </c>
      <c r="J845" s="10" t="s">
        <v>37</v>
      </c>
      <c r="K845" s="0"/>
      <c r="L845" s="0"/>
      <c r="U845" s="0"/>
      <c r="V845" s="0"/>
      <c r="W845" s="0"/>
      <c r="X845" s="0"/>
      <c r="Y845" s="0"/>
    </row>
    <row r="846" customFormat="false" ht="12.8" hidden="false" customHeight="false" outlineLevel="0" collapsed="false">
      <c r="G846" s="25" t="n">
        <v>44892</v>
      </c>
      <c r="H846" s="43" t="s">
        <v>23</v>
      </c>
      <c r="I846" s="5" t="n">
        <v>-23.87</v>
      </c>
      <c r="J846" s="10" t="s">
        <v>37</v>
      </c>
      <c r="K846" s="0"/>
      <c r="L846" s="0"/>
      <c r="U846" s="0"/>
      <c r="V846" s="0"/>
      <c r="W846" s="0"/>
      <c r="X846" s="0"/>
      <c r="Y846" s="0"/>
    </row>
    <row r="847" customFormat="false" ht="12.8" hidden="false" customHeight="false" outlineLevel="0" collapsed="false">
      <c r="G847" s="25" t="n">
        <v>44892</v>
      </c>
      <c r="H847" s="48" t="s">
        <v>26</v>
      </c>
      <c r="I847" s="5" t="n">
        <v>-35</v>
      </c>
      <c r="J847" s="0" t="s">
        <v>108</v>
      </c>
      <c r="K847" s="0"/>
      <c r="L847" s="0"/>
      <c r="U847" s="0"/>
      <c r="V847" s="0"/>
      <c r="W847" s="0"/>
      <c r="X847" s="0"/>
      <c r="Y847" s="0"/>
    </row>
    <row r="848" customFormat="false" ht="12.8" hidden="false" customHeight="false" outlineLevel="0" collapsed="false">
      <c r="G848" s="25" t="n">
        <v>44892</v>
      </c>
      <c r="H848" s="52" t="s">
        <v>14</v>
      </c>
      <c r="I848" s="5" t="n">
        <v>35</v>
      </c>
      <c r="J848" s="0" t="s">
        <v>108</v>
      </c>
      <c r="K848" s="5"/>
      <c r="L848" s="0"/>
      <c r="U848" s="0"/>
      <c r="V848" s="0"/>
      <c r="W848" s="0"/>
      <c r="X848" s="0"/>
      <c r="Y848" s="0"/>
    </row>
    <row r="849" customFormat="false" ht="12.8" hidden="false" customHeight="false" outlineLevel="0" collapsed="false">
      <c r="G849" s="25" t="n">
        <v>44892</v>
      </c>
      <c r="H849" s="52" t="s">
        <v>14</v>
      </c>
      <c r="I849" s="5" t="n">
        <v>5.28</v>
      </c>
      <c r="J849" s="0" t="s">
        <v>40</v>
      </c>
      <c r="K849" s="5"/>
      <c r="L849" s="0"/>
      <c r="U849" s="0"/>
      <c r="V849" s="0"/>
      <c r="W849" s="0"/>
      <c r="X849" s="0"/>
      <c r="Y849" s="0"/>
    </row>
    <row r="850" customFormat="false" ht="12.8" hidden="false" customHeight="false" outlineLevel="0" collapsed="false">
      <c r="G850" s="25" t="n">
        <v>44893</v>
      </c>
      <c r="H850" s="48" t="s">
        <v>26</v>
      </c>
      <c r="I850" s="5" t="n">
        <v>-50</v>
      </c>
      <c r="J850" s="27" t="s">
        <v>98</v>
      </c>
      <c r="K850" s="5"/>
      <c r="L850" s="0"/>
      <c r="U850" s="0"/>
      <c r="V850" s="0"/>
      <c r="W850" s="0"/>
      <c r="X850" s="0"/>
      <c r="Y850" s="0"/>
    </row>
    <row r="851" customFormat="false" ht="12.8" hidden="false" customHeight="false" outlineLevel="0" collapsed="false">
      <c r="G851" s="25" t="n">
        <v>44893</v>
      </c>
      <c r="H851" s="52" t="s">
        <v>14</v>
      </c>
      <c r="I851" s="5" t="n">
        <v>50</v>
      </c>
      <c r="J851" s="27" t="s">
        <v>13</v>
      </c>
      <c r="K851" s="5"/>
      <c r="L851" s="0"/>
      <c r="U851" s="0"/>
      <c r="V851" s="0"/>
      <c r="W851" s="0"/>
      <c r="X851" s="0"/>
      <c r="Y851" s="0"/>
    </row>
    <row r="852" customFormat="false" ht="12.8" hidden="false" customHeight="false" outlineLevel="0" collapsed="false">
      <c r="G852" s="25" t="n">
        <v>44893</v>
      </c>
      <c r="H852" s="43" t="s">
        <v>23</v>
      </c>
      <c r="I852" s="5" t="n">
        <v>-55.5</v>
      </c>
      <c r="J852" s="10" t="s">
        <v>37</v>
      </c>
      <c r="K852" s="0"/>
      <c r="L852" s="0"/>
      <c r="U852" s="0"/>
      <c r="V852" s="0"/>
      <c r="W852" s="0"/>
      <c r="X852" s="0"/>
      <c r="Y852" s="0"/>
    </row>
    <row r="853" customFormat="false" ht="12.8" hidden="false" customHeight="false" outlineLevel="0" collapsed="false">
      <c r="G853" s="25" t="n">
        <v>44893</v>
      </c>
      <c r="H853" s="43" t="s">
        <v>23</v>
      </c>
      <c r="I853" s="5" t="n">
        <v>-30.49</v>
      </c>
      <c r="J853" s="10" t="s">
        <v>37</v>
      </c>
      <c r="K853" s="0"/>
      <c r="L853" s="0"/>
      <c r="U853" s="0"/>
      <c r="V853" s="0"/>
      <c r="W853" s="0"/>
      <c r="X853" s="0"/>
      <c r="Y853" s="0"/>
    </row>
    <row r="854" customFormat="false" ht="12.8" hidden="false" customHeight="false" outlineLevel="0" collapsed="false">
      <c r="G854" s="25" t="n">
        <v>44893</v>
      </c>
      <c r="H854" s="41" t="s">
        <v>23</v>
      </c>
      <c r="I854" s="5" t="n">
        <v>250</v>
      </c>
      <c r="J854" s="10" t="s">
        <v>72</v>
      </c>
      <c r="K854" s="5"/>
      <c r="L854" s="0"/>
      <c r="U854" s="0"/>
      <c r="V854" s="0"/>
      <c r="W854" s="0"/>
      <c r="X854" s="0"/>
      <c r="Y854" s="0"/>
    </row>
    <row r="855" customFormat="false" ht="12.8" hidden="false" customHeight="false" outlineLevel="0" collapsed="false">
      <c r="G855" s="25" t="n">
        <v>44893</v>
      </c>
      <c r="H855" s="41" t="s">
        <v>23</v>
      </c>
      <c r="I855" s="5" t="n">
        <v>-5</v>
      </c>
      <c r="J855" s="10" t="s">
        <v>43</v>
      </c>
      <c r="K855" s="5"/>
      <c r="L855" s="0"/>
      <c r="U855" s="0"/>
      <c r="V855" s="0"/>
      <c r="W855" s="0"/>
      <c r="X855" s="0"/>
      <c r="Y855" s="0"/>
    </row>
    <row r="856" customFormat="false" ht="12.8" hidden="false" customHeight="false" outlineLevel="0" collapsed="false">
      <c r="G856" s="25" t="n">
        <v>44894</v>
      </c>
      <c r="H856" s="43" t="s">
        <v>23</v>
      </c>
      <c r="I856" s="5" t="n">
        <v>-63.5</v>
      </c>
      <c r="J856" s="10" t="s">
        <v>37</v>
      </c>
      <c r="K856" s="5"/>
      <c r="L856" s="0"/>
      <c r="U856" s="0"/>
      <c r="V856" s="0"/>
      <c r="W856" s="0"/>
      <c r="X856" s="0"/>
      <c r="Y856" s="0"/>
    </row>
    <row r="857" customFormat="false" ht="12.8" hidden="false" customHeight="false" outlineLevel="0" collapsed="false">
      <c r="G857" s="25" t="n">
        <v>44894</v>
      </c>
      <c r="H857" s="43" t="s">
        <v>23</v>
      </c>
      <c r="I857" s="5" t="n">
        <v>-29.28</v>
      </c>
      <c r="J857" s="10" t="s">
        <v>37</v>
      </c>
      <c r="K857" s="5"/>
      <c r="L857" s="0"/>
      <c r="U857" s="0"/>
      <c r="V857" s="0"/>
      <c r="W857" s="0"/>
      <c r="X857" s="0"/>
      <c r="Y857" s="0"/>
    </row>
    <row r="858" customFormat="false" ht="12.8" hidden="false" customHeight="false" outlineLevel="0" collapsed="false">
      <c r="G858" s="25" t="n">
        <v>44894</v>
      </c>
      <c r="H858" s="26" t="s">
        <v>10</v>
      </c>
      <c r="I858" s="5" t="n">
        <v>-450</v>
      </c>
      <c r="J858" s="54" t="s">
        <v>38</v>
      </c>
      <c r="K858" s="5"/>
      <c r="L858" s="0"/>
      <c r="U858" s="0"/>
      <c r="V858" s="0"/>
      <c r="W858" s="0"/>
      <c r="X858" s="0"/>
      <c r="Y858" s="0"/>
    </row>
    <row r="859" customFormat="false" ht="12.8" hidden="false" customHeight="false" outlineLevel="0" collapsed="false">
      <c r="G859" s="25" t="n">
        <v>44894</v>
      </c>
      <c r="H859" s="32" t="s">
        <v>15</v>
      </c>
      <c r="I859" s="5" t="n">
        <v>450</v>
      </c>
      <c r="J859" s="54" t="s">
        <v>38</v>
      </c>
      <c r="K859" s="5"/>
      <c r="L859" s="0"/>
      <c r="U859" s="0"/>
      <c r="V859" s="0"/>
      <c r="W859" s="0"/>
      <c r="X859" s="0"/>
      <c r="Y859" s="0"/>
    </row>
    <row r="860" customFormat="false" ht="12.8" hidden="false" customHeight="false" outlineLevel="0" collapsed="false">
      <c r="G860" s="25" t="n">
        <v>44894</v>
      </c>
      <c r="H860" s="32" t="s">
        <v>15</v>
      </c>
      <c r="I860" s="5" t="n">
        <v>-450</v>
      </c>
      <c r="J860" s="0" t="s">
        <v>56</v>
      </c>
      <c r="K860" s="5"/>
      <c r="L860" s="0"/>
      <c r="U860" s="0"/>
      <c r="V860" s="0"/>
      <c r="W860" s="0"/>
      <c r="X860" s="0"/>
      <c r="Y860" s="0"/>
    </row>
    <row r="861" customFormat="false" ht="12.8" hidden="false" customHeight="false" outlineLevel="0" collapsed="false">
      <c r="G861" s="25" t="n">
        <v>44894</v>
      </c>
      <c r="H861" s="48" t="s">
        <v>26</v>
      </c>
      <c r="I861" s="5" t="n">
        <v>450</v>
      </c>
      <c r="J861" s="0" t="s">
        <v>56</v>
      </c>
      <c r="K861" s="5"/>
      <c r="L861" s="0"/>
      <c r="U861" s="0"/>
      <c r="V861" s="0"/>
      <c r="W861" s="0"/>
      <c r="X861" s="0"/>
      <c r="Y861" s="0"/>
    </row>
    <row r="862" customFormat="false" ht="12.8" hidden="false" customHeight="false" outlineLevel="0" collapsed="false">
      <c r="G862" s="25" t="n">
        <v>44894</v>
      </c>
      <c r="H862" s="48" t="s">
        <v>26</v>
      </c>
      <c r="I862" s="5" t="n">
        <v>-450</v>
      </c>
      <c r="J862" s="0" t="s">
        <v>56</v>
      </c>
      <c r="K862" s="5"/>
      <c r="L862" s="0"/>
      <c r="U862" s="0"/>
      <c r="V862" s="0"/>
      <c r="W862" s="0"/>
      <c r="X862" s="0"/>
      <c r="Y862" s="0"/>
    </row>
    <row r="863" customFormat="false" ht="12.8" hidden="false" customHeight="false" outlineLevel="0" collapsed="false">
      <c r="G863" s="25" t="n">
        <v>44894</v>
      </c>
      <c r="H863" s="52" t="s">
        <v>14</v>
      </c>
      <c r="I863" s="5" t="n">
        <v>450</v>
      </c>
      <c r="J863" s="0" t="s">
        <v>56</v>
      </c>
      <c r="K863" s="5"/>
      <c r="L863" s="0"/>
      <c r="U863" s="0"/>
      <c r="V863" s="0"/>
      <c r="W863" s="0"/>
      <c r="X863" s="0"/>
      <c r="Y863" s="0"/>
    </row>
    <row r="864" customFormat="false" ht="12.8" hidden="false" customHeight="false" outlineLevel="0" collapsed="false">
      <c r="G864" s="25" t="n">
        <v>44895</v>
      </c>
      <c r="H864" s="43" t="s">
        <v>23</v>
      </c>
      <c r="I864" s="5" t="n">
        <v>-59.5</v>
      </c>
      <c r="J864" s="10" t="s">
        <v>37</v>
      </c>
      <c r="K864" s="0"/>
      <c r="L864" s="0"/>
      <c r="U864" s="0"/>
      <c r="V864" s="0"/>
      <c r="W864" s="0"/>
      <c r="X864" s="0"/>
      <c r="Y864" s="0"/>
    </row>
    <row r="865" customFormat="false" ht="12.8" hidden="false" customHeight="false" outlineLevel="0" collapsed="false">
      <c r="G865" s="25" t="n">
        <v>44895</v>
      </c>
      <c r="H865" s="43" t="s">
        <v>23</v>
      </c>
      <c r="I865" s="5" t="n">
        <v>-29.05</v>
      </c>
      <c r="J865" s="10" t="s">
        <v>37</v>
      </c>
      <c r="K865" s="0"/>
      <c r="L865" s="0"/>
      <c r="U865" s="0"/>
      <c r="V865" s="0"/>
      <c r="W865" s="0"/>
      <c r="X865" s="0"/>
      <c r="Y865" s="0"/>
    </row>
    <row r="866" customFormat="false" ht="12.8" hidden="false" customHeight="false" outlineLevel="0" collapsed="false">
      <c r="G866" s="25" t="n">
        <v>44895</v>
      </c>
      <c r="H866" s="26" t="s">
        <v>10</v>
      </c>
      <c r="I866" s="5" t="n">
        <f aca="false">2.12</f>
        <v>2.12</v>
      </c>
      <c r="J866" s="0" t="s">
        <v>40</v>
      </c>
      <c r="K866" s="0"/>
      <c r="L866" s="0"/>
      <c r="U866" s="0"/>
      <c r="V866" s="0"/>
      <c r="W866" s="0"/>
      <c r="X866" s="0"/>
      <c r="Y866" s="0"/>
    </row>
    <row r="867" customFormat="false" ht="12.8" hidden="false" customHeight="false" outlineLevel="0" collapsed="false">
      <c r="G867" s="25" t="n">
        <v>44895</v>
      </c>
      <c r="H867" s="43" t="s">
        <v>23</v>
      </c>
      <c r="I867" s="5" t="n">
        <v>-5</v>
      </c>
      <c r="J867" s="0" t="s">
        <v>82</v>
      </c>
      <c r="K867" s="0"/>
      <c r="L867" s="0"/>
      <c r="U867" s="0"/>
      <c r="V867" s="0"/>
      <c r="W867" s="0"/>
      <c r="X867" s="0"/>
      <c r="Y867" s="0"/>
    </row>
    <row r="868" customFormat="false" ht="12.8" hidden="false" customHeight="false" outlineLevel="0" collapsed="false">
      <c r="G868" s="25" t="n">
        <v>44896</v>
      </c>
      <c r="H868" s="43" t="s">
        <v>23</v>
      </c>
      <c r="I868" s="5" t="n">
        <v>-59.5</v>
      </c>
      <c r="J868" s="10" t="s">
        <v>37</v>
      </c>
      <c r="K868" s="0"/>
      <c r="L868" s="0"/>
      <c r="U868" s="0"/>
      <c r="V868" s="0"/>
      <c r="W868" s="0"/>
      <c r="X868" s="0"/>
      <c r="Y868" s="0"/>
    </row>
    <row r="869" customFormat="false" ht="12.8" hidden="false" customHeight="false" outlineLevel="0" collapsed="false">
      <c r="G869" s="25" t="n">
        <v>44896</v>
      </c>
      <c r="H869" s="43" t="s">
        <v>23</v>
      </c>
      <c r="I869" s="5" t="n">
        <v>-31.94</v>
      </c>
      <c r="J869" s="10" t="s">
        <v>37</v>
      </c>
      <c r="K869" s="0"/>
      <c r="L869" s="0"/>
      <c r="U869" s="0"/>
      <c r="V869" s="0"/>
      <c r="W869" s="0"/>
      <c r="X869" s="0"/>
      <c r="Y869" s="0"/>
    </row>
    <row r="870" customFormat="false" ht="12.8" hidden="false" customHeight="false" outlineLevel="0" collapsed="false">
      <c r="G870" s="25" t="n">
        <v>44896</v>
      </c>
      <c r="H870" s="48" t="s">
        <v>26</v>
      </c>
      <c r="I870" s="5" t="n">
        <v>-5</v>
      </c>
      <c r="J870" s="0" t="s">
        <v>61</v>
      </c>
      <c r="K870" s="0"/>
      <c r="L870" s="0"/>
      <c r="U870" s="0"/>
      <c r="V870" s="0"/>
      <c r="W870" s="0"/>
      <c r="X870" s="0"/>
      <c r="Y870" s="0"/>
    </row>
    <row r="871" customFormat="false" ht="12.8" hidden="false" customHeight="false" outlineLevel="0" collapsed="false">
      <c r="G871" s="25" t="n">
        <v>44896</v>
      </c>
      <c r="H871" s="48" t="s">
        <v>26</v>
      </c>
      <c r="I871" s="5" t="n">
        <v>-10</v>
      </c>
      <c r="J871" s="55" t="s">
        <v>99</v>
      </c>
      <c r="K871" s="0"/>
      <c r="L871" s="0"/>
      <c r="U871" s="0"/>
      <c r="V871" s="0"/>
      <c r="W871" s="0"/>
      <c r="X871" s="0"/>
      <c r="Y871" s="0"/>
    </row>
    <row r="872" customFormat="false" ht="12.8" hidden="false" customHeight="false" outlineLevel="0" collapsed="false">
      <c r="G872" s="25" t="n">
        <v>44896</v>
      </c>
      <c r="H872" s="52" t="s">
        <v>14</v>
      </c>
      <c r="I872" s="5" t="n">
        <v>2.05</v>
      </c>
      <c r="J872" s="0" t="s">
        <v>40</v>
      </c>
      <c r="K872" s="0"/>
      <c r="L872" s="0"/>
      <c r="U872" s="0"/>
      <c r="V872" s="0"/>
      <c r="W872" s="0"/>
      <c r="X872" s="0"/>
      <c r="Y872" s="0"/>
    </row>
    <row r="873" customFormat="false" ht="12.8" hidden="false" customHeight="false" outlineLevel="0" collapsed="false">
      <c r="G873" s="25" t="n">
        <v>44897</v>
      </c>
      <c r="H873" s="43" t="s">
        <v>23</v>
      </c>
      <c r="I873" s="5" t="n">
        <v>-45</v>
      </c>
      <c r="J873" s="10" t="s">
        <v>37</v>
      </c>
      <c r="K873" s="0"/>
      <c r="L873" s="0"/>
      <c r="U873" s="0"/>
      <c r="V873" s="0"/>
      <c r="W873" s="0"/>
      <c r="X873" s="0"/>
      <c r="Y873" s="0"/>
    </row>
    <row r="874" customFormat="false" ht="12.8" hidden="false" customHeight="false" outlineLevel="0" collapsed="false">
      <c r="G874" s="25" t="n">
        <v>44897</v>
      </c>
      <c r="H874" s="43" t="s">
        <v>23</v>
      </c>
      <c r="I874" s="5" t="n">
        <v>-20.02</v>
      </c>
      <c r="J874" s="10" t="s">
        <v>37</v>
      </c>
      <c r="K874" s="0"/>
      <c r="L874" s="0"/>
      <c r="U874" s="0"/>
      <c r="V874" s="0"/>
      <c r="W874" s="0"/>
      <c r="X874" s="0"/>
      <c r="Y874" s="0"/>
    </row>
    <row r="875" customFormat="false" ht="12.8" hidden="false" customHeight="false" outlineLevel="0" collapsed="false">
      <c r="G875" s="25" t="n">
        <v>44897</v>
      </c>
      <c r="H875" s="43" t="s">
        <v>23</v>
      </c>
      <c r="I875" s="5" t="n">
        <v>-50</v>
      </c>
      <c r="J875" s="10" t="s">
        <v>46</v>
      </c>
      <c r="K875" s="0"/>
      <c r="L875" s="0"/>
      <c r="U875" s="0"/>
      <c r="V875" s="0"/>
      <c r="W875" s="0"/>
      <c r="X875" s="0"/>
      <c r="Y875" s="0"/>
    </row>
    <row r="876" customFormat="false" ht="12.8" hidden="false" customHeight="false" outlineLevel="0" collapsed="false">
      <c r="G876" s="25" t="n">
        <v>44898</v>
      </c>
      <c r="H876" s="38" t="s">
        <v>21</v>
      </c>
      <c r="I876" s="5" t="n">
        <v>-15</v>
      </c>
      <c r="J876" s="0" t="s">
        <v>82</v>
      </c>
      <c r="K876" s="0"/>
      <c r="L876" s="0"/>
      <c r="U876" s="0"/>
      <c r="V876" s="0"/>
      <c r="W876" s="0"/>
      <c r="X876" s="0"/>
      <c r="Y876" s="0"/>
    </row>
    <row r="877" customFormat="false" ht="12.8" hidden="false" customHeight="false" outlineLevel="0" collapsed="false">
      <c r="G877" s="25" t="n">
        <v>44898</v>
      </c>
      <c r="H877" s="43" t="s">
        <v>23</v>
      </c>
      <c r="I877" s="5" t="n">
        <v>-55.5</v>
      </c>
      <c r="J877" s="10" t="s">
        <v>37</v>
      </c>
      <c r="K877" s="0"/>
      <c r="L877" s="0"/>
      <c r="U877" s="0"/>
      <c r="V877" s="0"/>
      <c r="W877" s="0"/>
      <c r="X877" s="0"/>
      <c r="Y877" s="0"/>
    </row>
    <row r="878" customFormat="false" ht="12.8" hidden="false" customHeight="false" outlineLevel="0" collapsed="false">
      <c r="G878" s="25" t="n">
        <v>44898</v>
      </c>
      <c r="H878" s="43" t="s">
        <v>23</v>
      </c>
      <c r="I878" s="5" t="n">
        <v>-23.85</v>
      </c>
      <c r="J878" s="10" t="s">
        <v>37</v>
      </c>
      <c r="K878" s="0"/>
      <c r="L878" s="0"/>
      <c r="U878" s="0"/>
      <c r="V878" s="0"/>
      <c r="W878" s="0"/>
      <c r="X878" s="0"/>
      <c r="Y878" s="0"/>
    </row>
    <row r="879" customFormat="false" ht="12.8" hidden="false" customHeight="false" outlineLevel="0" collapsed="false">
      <c r="G879" s="25" t="n">
        <v>44899</v>
      </c>
      <c r="H879" s="43" t="s">
        <v>23</v>
      </c>
      <c r="I879" s="5" t="n">
        <v>63.5</v>
      </c>
      <c r="J879" s="65" t="s">
        <v>109</v>
      </c>
      <c r="K879" s="0"/>
      <c r="L879" s="0"/>
      <c r="U879" s="0"/>
      <c r="V879" s="0"/>
      <c r="W879" s="0"/>
      <c r="X879" s="0"/>
      <c r="Y879" s="0"/>
    </row>
    <row r="880" customFormat="false" ht="12.8" hidden="false" customHeight="false" outlineLevel="0" collapsed="false">
      <c r="G880" s="25" t="n">
        <v>44899</v>
      </c>
      <c r="H880" s="43" t="s">
        <v>23</v>
      </c>
      <c r="I880" s="5" t="n">
        <v>-59.5</v>
      </c>
      <c r="J880" s="10" t="s">
        <v>37</v>
      </c>
      <c r="K880" s="0"/>
      <c r="L880" s="0"/>
      <c r="U880" s="0"/>
      <c r="V880" s="0"/>
      <c r="W880" s="0"/>
      <c r="X880" s="0"/>
      <c r="Y880" s="0"/>
    </row>
    <row r="881" customFormat="false" ht="12.8" hidden="false" customHeight="false" outlineLevel="0" collapsed="false">
      <c r="G881" s="25" t="n">
        <v>44899</v>
      </c>
      <c r="H881" s="43" t="s">
        <v>23</v>
      </c>
      <c r="I881" s="5" t="n">
        <f aca="false">-9.3-8.75</f>
        <v>-18.05</v>
      </c>
      <c r="J881" s="10" t="s">
        <v>37</v>
      </c>
      <c r="K881" s="0"/>
      <c r="L881" s="0"/>
      <c r="U881" s="0"/>
      <c r="V881" s="0"/>
      <c r="W881" s="0"/>
      <c r="X881" s="0"/>
      <c r="Y881" s="0"/>
    </row>
    <row r="882" customFormat="false" ht="12.8" hidden="false" customHeight="false" outlineLevel="0" collapsed="false">
      <c r="G882" s="25" t="n">
        <v>44900</v>
      </c>
      <c r="H882" s="52" t="s">
        <v>14</v>
      </c>
      <c r="I882" s="5" t="n">
        <f aca="false">2.16</f>
        <v>2.16</v>
      </c>
      <c r="J882" s="0" t="s">
        <v>40</v>
      </c>
      <c r="K882" s="0"/>
      <c r="L882" s="0"/>
      <c r="U882" s="0"/>
      <c r="V882" s="0"/>
      <c r="W882" s="0"/>
      <c r="X882" s="0"/>
      <c r="Y882" s="0"/>
    </row>
    <row r="883" customFormat="false" ht="12.8" hidden="false" customHeight="false" outlineLevel="0" collapsed="false">
      <c r="G883" s="25" t="n">
        <v>44900</v>
      </c>
      <c r="H883" s="52" t="s">
        <v>14</v>
      </c>
      <c r="I883" s="5" t="n">
        <v>-2003</v>
      </c>
      <c r="J883" s="10" t="s">
        <v>66</v>
      </c>
      <c r="K883" s="0"/>
      <c r="L883" s="0"/>
      <c r="U883" s="0"/>
      <c r="V883" s="0"/>
      <c r="W883" s="0"/>
      <c r="X883" s="0"/>
      <c r="Y883" s="0"/>
    </row>
    <row r="884" customFormat="false" ht="12.8" hidden="false" customHeight="false" outlineLevel="0" collapsed="false">
      <c r="G884" s="25" t="n">
        <v>44900</v>
      </c>
      <c r="H884" s="48" t="s">
        <v>26</v>
      </c>
      <c r="I884" s="5" t="n">
        <v>2003</v>
      </c>
      <c r="J884" s="10" t="s">
        <v>66</v>
      </c>
      <c r="K884" s="0"/>
      <c r="L884" s="0"/>
      <c r="U884" s="0"/>
      <c r="V884" s="0"/>
      <c r="W884" s="0"/>
      <c r="X884" s="0"/>
      <c r="Y884" s="0"/>
    </row>
    <row r="885" customFormat="false" ht="12.8" hidden="false" customHeight="false" outlineLevel="0" collapsed="false">
      <c r="G885" s="25" t="n">
        <v>44900</v>
      </c>
      <c r="H885" s="48" t="s">
        <v>26</v>
      </c>
      <c r="I885" s="5" t="n">
        <v>-2000</v>
      </c>
      <c r="J885" s="55" t="s">
        <v>68</v>
      </c>
      <c r="K885" s="0"/>
      <c r="L885" s="0"/>
      <c r="U885" s="0"/>
      <c r="V885" s="0"/>
      <c r="W885" s="0"/>
      <c r="X885" s="0"/>
      <c r="Y885" s="0"/>
    </row>
    <row r="886" customFormat="false" ht="12.8" hidden="false" customHeight="false" outlineLevel="0" collapsed="false">
      <c r="G886" s="25" t="n">
        <v>44900</v>
      </c>
      <c r="H886" s="48" t="s">
        <v>26</v>
      </c>
      <c r="I886" s="5" t="n">
        <v>-3</v>
      </c>
      <c r="J886" s="55" t="s">
        <v>92</v>
      </c>
      <c r="K886" s="0"/>
      <c r="L886" s="0"/>
      <c r="U886" s="0"/>
      <c r="V886" s="0"/>
      <c r="W886" s="0"/>
      <c r="X886" s="0"/>
      <c r="Y886" s="0"/>
    </row>
    <row r="887" customFormat="false" ht="12.8" hidden="false" customHeight="false" outlineLevel="0" collapsed="false">
      <c r="G887" s="25" t="n">
        <v>44900</v>
      </c>
      <c r="H887" s="32" t="s">
        <v>15</v>
      </c>
      <c r="I887" s="5" t="n">
        <v>2000</v>
      </c>
      <c r="J887" s="55" t="s">
        <v>68</v>
      </c>
      <c r="K887" s="0"/>
      <c r="L887" s="0"/>
      <c r="U887" s="0"/>
      <c r="V887" s="0"/>
      <c r="W887" s="0"/>
      <c r="X887" s="0"/>
      <c r="Y887" s="0"/>
    </row>
    <row r="888" customFormat="false" ht="12.8" hidden="false" customHeight="false" outlineLevel="0" collapsed="false">
      <c r="G888" s="25" t="n">
        <v>44900</v>
      </c>
      <c r="H888" s="43" t="s">
        <v>23</v>
      </c>
      <c r="I888" s="5" t="n">
        <v>-37</v>
      </c>
      <c r="J888" s="10" t="s">
        <v>37</v>
      </c>
      <c r="K888" s="0"/>
      <c r="L888" s="0"/>
      <c r="U888" s="0"/>
      <c r="V888" s="0"/>
      <c r="W888" s="0"/>
      <c r="X888" s="0"/>
      <c r="Y888" s="0"/>
    </row>
    <row r="889" customFormat="false" ht="12.8" hidden="false" customHeight="false" outlineLevel="0" collapsed="false">
      <c r="G889" s="25" t="n">
        <v>44900</v>
      </c>
      <c r="H889" s="43" t="s">
        <v>23</v>
      </c>
      <c r="I889" s="5" t="n">
        <v>-23.81</v>
      </c>
      <c r="J889" s="10" t="s">
        <v>37</v>
      </c>
      <c r="K889" s="0"/>
      <c r="L889" s="0"/>
      <c r="U889" s="0"/>
      <c r="V889" s="0"/>
      <c r="W889" s="0"/>
      <c r="X889" s="0"/>
      <c r="Y889" s="0"/>
    </row>
    <row r="890" customFormat="false" ht="12.8" hidden="false" customHeight="false" outlineLevel="0" collapsed="false">
      <c r="G890" s="25" t="n">
        <v>44900</v>
      </c>
      <c r="H890" s="32" t="s">
        <v>15</v>
      </c>
      <c r="I890" s="5" t="n">
        <v>-2000</v>
      </c>
      <c r="J890" s="0" t="s">
        <v>104</v>
      </c>
      <c r="K890" s="0"/>
      <c r="L890" s="0"/>
      <c r="U890" s="0"/>
      <c r="V890" s="0"/>
      <c r="W890" s="0"/>
      <c r="X890" s="0"/>
      <c r="Y890" s="0"/>
    </row>
    <row r="891" customFormat="false" ht="12.8" hidden="false" customHeight="false" outlineLevel="0" collapsed="false">
      <c r="G891" s="25" t="n">
        <v>44900</v>
      </c>
      <c r="H891" s="26" t="s">
        <v>10</v>
      </c>
      <c r="I891" s="5" t="n">
        <v>2000</v>
      </c>
      <c r="J891" s="0" t="s">
        <v>104</v>
      </c>
      <c r="K891" s="0"/>
      <c r="L891" s="0"/>
      <c r="U891" s="0"/>
      <c r="V891" s="0"/>
      <c r="W891" s="0"/>
      <c r="X891" s="0"/>
      <c r="Y891" s="0"/>
    </row>
    <row r="892" customFormat="false" ht="12.8" hidden="false" customHeight="false" outlineLevel="0" collapsed="false">
      <c r="G892" s="25" t="n">
        <v>44901</v>
      </c>
      <c r="H892" s="26" t="s">
        <v>10</v>
      </c>
      <c r="I892" s="5" t="n">
        <v>-82.12</v>
      </c>
      <c r="J892" s="54" t="s">
        <v>38</v>
      </c>
      <c r="K892" s="0"/>
      <c r="L892" s="0"/>
      <c r="U892" s="0"/>
      <c r="V892" s="0"/>
      <c r="W892" s="0"/>
      <c r="X892" s="0"/>
      <c r="Y892" s="0"/>
    </row>
    <row r="893" customFormat="false" ht="12.8" hidden="false" customHeight="false" outlineLevel="0" collapsed="false">
      <c r="G893" s="25" t="n">
        <v>44901</v>
      </c>
      <c r="H893" s="32" t="s">
        <v>15</v>
      </c>
      <c r="I893" s="5" t="n">
        <v>82.12</v>
      </c>
      <c r="J893" s="54" t="s">
        <v>38</v>
      </c>
      <c r="K893" s="0"/>
      <c r="L893" s="0"/>
      <c r="U893" s="0"/>
      <c r="V893" s="0"/>
      <c r="W893" s="0"/>
      <c r="X893" s="0"/>
      <c r="Y893" s="0"/>
    </row>
    <row r="894" customFormat="false" ht="12.8" hidden="false" customHeight="false" outlineLevel="0" collapsed="false">
      <c r="G894" s="25" t="n">
        <v>44901</v>
      </c>
      <c r="H894" s="32" t="s">
        <v>15</v>
      </c>
      <c r="I894" s="5" t="n">
        <v>-59.5</v>
      </c>
      <c r="J894" s="54" t="s">
        <v>37</v>
      </c>
      <c r="K894" s="0"/>
      <c r="L894" s="0"/>
      <c r="U894" s="0"/>
      <c r="V894" s="0"/>
      <c r="W894" s="0"/>
      <c r="X894" s="0"/>
      <c r="Y894" s="0"/>
    </row>
    <row r="895" customFormat="false" ht="12.8" hidden="false" customHeight="false" outlineLevel="0" collapsed="false">
      <c r="G895" s="25" t="n">
        <v>44901</v>
      </c>
      <c r="H895" s="32" t="s">
        <v>15</v>
      </c>
      <c r="I895" s="5" t="n">
        <v>-17.19</v>
      </c>
      <c r="J895" s="54" t="s">
        <v>37</v>
      </c>
      <c r="K895" s="0"/>
      <c r="L895" s="0"/>
      <c r="U895" s="0"/>
      <c r="V895" s="0"/>
      <c r="W895" s="0"/>
      <c r="X895" s="0"/>
      <c r="Y895" s="0"/>
    </row>
    <row r="896" customFormat="false" ht="12.8" hidden="false" customHeight="false" outlineLevel="0" collapsed="false">
      <c r="G896" s="25" t="n">
        <v>44902</v>
      </c>
      <c r="H896" s="26" t="s">
        <v>10</v>
      </c>
      <c r="I896" s="5" t="n">
        <v>-75</v>
      </c>
      <c r="J896" s="54" t="s">
        <v>38</v>
      </c>
      <c r="K896" s="0"/>
      <c r="L896" s="0"/>
      <c r="U896" s="0"/>
      <c r="V896" s="0"/>
      <c r="W896" s="0"/>
      <c r="X896" s="0"/>
      <c r="Y896" s="0"/>
    </row>
    <row r="897" customFormat="false" ht="12.8" hidden="false" customHeight="false" outlineLevel="0" collapsed="false">
      <c r="G897" s="25" t="n">
        <v>44902</v>
      </c>
      <c r="H897" s="32" t="s">
        <v>15</v>
      </c>
      <c r="I897" s="5" t="n">
        <v>75</v>
      </c>
      <c r="J897" s="54" t="s">
        <v>38</v>
      </c>
      <c r="K897" s="0"/>
      <c r="L897" s="0"/>
      <c r="U897" s="0"/>
      <c r="V897" s="0"/>
      <c r="W897" s="0"/>
      <c r="X897" s="0"/>
      <c r="Y897" s="0"/>
    </row>
    <row r="898" customFormat="false" ht="12.8" hidden="false" customHeight="false" outlineLevel="0" collapsed="false">
      <c r="G898" s="25" t="n">
        <v>44902</v>
      </c>
      <c r="H898" s="32" t="s">
        <v>15</v>
      </c>
      <c r="I898" s="5" t="n">
        <v>-63.5</v>
      </c>
      <c r="J898" s="54" t="s">
        <v>37</v>
      </c>
      <c r="K898" s="0"/>
      <c r="L898" s="0"/>
      <c r="U898" s="0"/>
      <c r="V898" s="0"/>
      <c r="W898" s="0"/>
      <c r="X898" s="0"/>
      <c r="Y898" s="0"/>
    </row>
    <row r="899" customFormat="false" ht="12.8" hidden="false" customHeight="false" outlineLevel="0" collapsed="false">
      <c r="G899" s="25" t="n">
        <v>44902</v>
      </c>
      <c r="H899" s="32" t="s">
        <v>15</v>
      </c>
      <c r="I899" s="5" t="n">
        <v>-16.91</v>
      </c>
      <c r="J899" s="54" t="s">
        <v>37</v>
      </c>
      <c r="K899" s="0"/>
      <c r="L899" s="0"/>
      <c r="U899" s="0"/>
      <c r="V899" s="0"/>
      <c r="W899" s="0"/>
      <c r="X899" s="0"/>
      <c r="Y899" s="0"/>
    </row>
    <row r="900" customFormat="false" ht="12.8" hidden="false" customHeight="false" outlineLevel="0" collapsed="false">
      <c r="G900" s="25" t="n">
        <v>44903</v>
      </c>
      <c r="H900" s="26" t="s">
        <v>10</v>
      </c>
      <c r="I900" s="5" t="n">
        <v>-80</v>
      </c>
      <c r="J900" s="54" t="s">
        <v>38</v>
      </c>
      <c r="K900" s="0"/>
      <c r="L900" s="0"/>
      <c r="U900" s="0"/>
      <c r="V900" s="0"/>
      <c r="W900" s="0"/>
      <c r="X900" s="0"/>
      <c r="Y900" s="0"/>
    </row>
    <row r="901" customFormat="false" ht="12.8" hidden="false" customHeight="false" outlineLevel="0" collapsed="false">
      <c r="G901" s="25" t="n">
        <v>44903</v>
      </c>
      <c r="H901" s="32" t="s">
        <v>15</v>
      </c>
      <c r="I901" s="5" t="n">
        <v>80</v>
      </c>
      <c r="J901" s="54" t="s">
        <v>38</v>
      </c>
      <c r="K901" s="0"/>
      <c r="L901" s="0"/>
      <c r="U901" s="0"/>
      <c r="V901" s="0"/>
      <c r="W901" s="0"/>
      <c r="X901" s="0"/>
      <c r="Y901" s="0"/>
    </row>
    <row r="902" customFormat="false" ht="12.8" hidden="false" customHeight="false" outlineLevel="0" collapsed="false">
      <c r="G902" s="25" t="n">
        <v>44903</v>
      </c>
      <c r="H902" s="32" t="s">
        <v>15</v>
      </c>
      <c r="I902" s="5" t="n">
        <v>-59.5</v>
      </c>
      <c r="J902" s="54" t="s">
        <v>37</v>
      </c>
      <c r="K902" s="0"/>
      <c r="L902" s="0"/>
      <c r="U902" s="0"/>
      <c r="V902" s="0"/>
      <c r="W902" s="0"/>
      <c r="X902" s="0"/>
      <c r="Y902" s="0"/>
    </row>
    <row r="903" customFormat="false" ht="12.8" hidden="false" customHeight="false" outlineLevel="0" collapsed="false">
      <c r="G903" s="25" t="n">
        <v>44903</v>
      </c>
      <c r="H903" s="43" t="s">
        <v>23</v>
      </c>
      <c r="I903" s="5" t="n">
        <v>-21.94</v>
      </c>
      <c r="J903" s="10" t="s">
        <v>37</v>
      </c>
      <c r="K903" s="0"/>
      <c r="L903" s="0"/>
      <c r="U903" s="0"/>
      <c r="V903" s="0"/>
      <c r="W903" s="0"/>
      <c r="X903" s="0"/>
      <c r="Y903" s="0"/>
    </row>
    <row r="904" customFormat="false" ht="12.8" hidden="false" customHeight="false" outlineLevel="0" collapsed="false">
      <c r="G904" s="25" t="n">
        <v>44904</v>
      </c>
      <c r="H904" s="26" t="s">
        <v>10</v>
      </c>
      <c r="I904" s="5" t="n">
        <v>-65</v>
      </c>
      <c r="J904" s="54" t="s">
        <v>38</v>
      </c>
      <c r="K904" s="0"/>
      <c r="L904" s="0"/>
      <c r="U904" s="0"/>
      <c r="V904" s="0"/>
      <c r="W904" s="0"/>
      <c r="X904" s="0"/>
      <c r="Y904" s="0"/>
    </row>
    <row r="905" customFormat="false" ht="12.8" hidden="false" customHeight="false" outlineLevel="0" collapsed="false">
      <c r="G905" s="25" t="n">
        <v>44904</v>
      </c>
      <c r="H905" s="32" t="s">
        <v>15</v>
      </c>
      <c r="I905" s="5" t="n">
        <v>65</v>
      </c>
      <c r="J905" s="54" t="s">
        <v>38</v>
      </c>
      <c r="K905" s="0"/>
      <c r="L905" s="0"/>
      <c r="U905" s="0"/>
      <c r="V905" s="0"/>
      <c r="W905" s="0"/>
      <c r="X905" s="0"/>
      <c r="Y905" s="0"/>
    </row>
    <row r="906" customFormat="false" ht="12.8" hidden="false" customHeight="false" outlineLevel="0" collapsed="false">
      <c r="G906" s="25" t="n">
        <v>44904</v>
      </c>
      <c r="H906" s="32" t="s">
        <v>15</v>
      </c>
      <c r="I906" s="5" t="n">
        <v>-55.5</v>
      </c>
      <c r="J906" s="54" t="s">
        <v>37</v>
      </c>
      <c r="K906" s="0"/>
      <c r="L906" s="0"/>
      <c r="U906" s="0"/>
      <c r="V906" s="0"/>
      <c r="W906" s="0"/>
      <c r="X906" s="0"/>
      <c r="Y906" s="0"/>
    </row>
    <row r="907" customFormat="false" ht="12.8" hidden="false" customHeight="false" outlineLevel="0" collapsed="false">
      <c r="G907" s="25" t="n">
        <v>44904</v>
      </c>
      <c r="H907" s="32" t="s">
        <v>15</v>
      </c>
      <c r="I907" s="5" t="n">
        <v>-20</v>
      </c>
      <c r="J907" s="54" t="s">
        <v>37</v>
      </c>
      <c r="K907" s="0"/>
      <c r="L907" s="0"/>
      <c r="U907" s="0"/>
      <c r="V907" s="0"/>
      <c r="W907" s="0"/>
      <c r="X907" s="0"/>
      <c r="Y907" s="0"/>
    </row>
    <row r="908" customFormat="false" ht="12.8" hidden="false" customHeight="false" outlineLevel="0" collapsed="false">
      <c r="G908" s="25" t="n">
        <v>44905</v>
      </c>
      <c r="H908" s="26" t="s">
        <v>10</v>
      </c>
      <c r="I908" s="5" t="n">
        <v>-70</v>
      </c>
      <c r="J908" s="54" t="s">
        <v>38</v>
      </c>
      <c r="K908" s="0"/>
      <c r="L908" s="0"/>
      <c r="U908" s="0"/>
      <c r="V908" s="0"/>
      <c r="W908" s="0"/>
      <c r="X908" s="0"/>
      <c r="Y908" s="0"/>
    </row>
    <row r="909" customFormat="false" ht="12.8" hidden="false" customHeight="false" outlineLevel="0" collapsed="false">
      <c r="G909" s="25" t="n">
        <v>44905</v>
      </c>
      <c r="H909" s="32" t="s">
        <v>15</v>
      </c>
      <c r="I909" s="5" t="n">
        <v>70</v>
      </c>
      <c r="J909" s="54" t="s">
        <v>38</v>
      </c>
      <c r="K909" s="0"/>
      <c r="L909" s="0"/>
      <c r="U909" s="0"/>
      <c r="V909" s="0"/>
      <c r="W909" s="0"/>
      <c r="X909" s="0"/>
      <c r="Y909" s="0"/>
    </row>
    <row r="910" customFormat="false" ht="12.8" hidden="false" customHeight="false" outlineLevel="0" collapsed="false">
      <c r="G910" s="25" t="n">
        <v>44905</v>
      </c>
      <c r="H910" s="32" t="s">
        <v>15</v>
      </c>
      <c r="I910" s="5" t="n">
        <v>-55.5</v>
      </c>
      <c r="J910" s="54" t="s">
        <v>37</v>
      </c>
      <c r="K910" s="0"/>
      <c r="L910" s="0"/>
      <c r="U910" s="0"/>
      <c r="V910" s="0"/>
      <c r="W910" s="0"/>
      <c r="X910" s="0"/>
      <c r="Y910" s="0"/>
    </row>
    <row r="911" customFormat="false" ht="12.8" hidden="false" customHeight="false" outlineLevel="0" collapsed="false">
      <c r="G911" s="25" t="n">
        <v>44905</v>
      </c>
      <c r="H911" s="32" t="s">
        <v>15</v>
      </c>
      <c r="I911" s="5" t="n">
        <f aca="false">-9.37-8.94</f>
        <v>-18.31</v>
      </c>
      <c r="J911" s="54" t="s">
        <v>37</v>
      </c>
      <c r="K911" s="0"/>
      <c r="L911" s="0"/>
      <c r="U911" s="0"/>
      <c r="V911" s="0"/>
      <c r="W911" s="0"/>
      <c r="X911" s="0"/>
      <c r="Y911" s="0"/>
    </row>
    <row r="912" customFormat="false" ht="12.8" hidden="false" customHeight="false" outlineLevel="0" collapsed="false">
      <c r="G912" s="25" t="n">
        <v>44906</v>
      </c>
      <c r="H912" s="26" t="s">
        <v>10</v>
      </c>
      <c r="I912" s="5" t="n">
        <v>-74</v>
      </c>
      <c r="J912" s="54" t="s">
        <v>38</v>
      </c>
      <c r="K912" s="0"/>
      <c r="L912" s="0"/>
      <c r="U912" s="0"/>
      <c r="V912" s="0"/>
      <c r="W912" s="0"/>
      <c r="X912" s="0"/>
      <c r="Y912" s="0"/>
    </row>
    <row r="913" customFormat="false" ht="12.8" hidden="false" customHeight="false" outlineLevel="0" collapsed="false">
      <c r="G913" s="25" t="n">
        <v>44906</v>
      </c>
      <c r="H913" s="32" t="s">
        <v>15</v>
      </c>
      <c r="I913" s="5" t="n">
        <v>74</v>
      </c>
      <c r="J913" s="54" t="s">
        <v>38</v>
      </c>
      <c r="K913" s="0"/>
      <c r="L913" s="0"/>
      <c r="U913" s="0"/>
      <c r="V913" s="0"/>
      <c r="W913" s="0"/>
      <c r="X913" s="0"/>
      <c r="Y913" s="0"/>
    </row>
    <row r="914" customFormat="false" ht="12.8" hidden="false" customHeight="false" outlineLevel="0" collapsed="false">
      <c r="G914" s="25" t="n">
        <v>44906</v>
      </c>
      <c r="H914" s="32" t="s">
        <v>15</v>
      </c>
      <c r="I914" s="5" t="n">
        <v>-55.5</v>
      </c>
      <c r="J914" s="54" t="s">
        <v>37</v>
      </c>
      <c r="K914" s="0"/>
      <c r="L914" s="0"/>
      <c r="U914" s="0"/>
      <c r="V914" s="0"/>
      <c r="W914" s="0"/>
      <c r="X914" s="0"/>
      <c r="Y914" s="0"/>
    </row>
    <row r="915" customFormat="false" ht="12.8" hidden="false" customHeight="false" outlineLevel="0" collapsed="false">
      <c r="G915" s="25" t="n">
        <v>44906</v>
      </c>
      <c r="H915" s="32" t="s">
        <v>15</v>
      </c>
      <c r="I915" s="5" t="n">
        <f aca="false">-11.07-9.77</f>
        <v>-20.84</v>
      </c>
      <c r="J915" s="54" t="s">
        <v>37</v>
      </c>
      <c r="K915" s="0"/>
      <c r="L915" s="0"/>
      <c r="U915" s="0"/>
      <c r="V915" s="0"/>
      <c r="W915" s="0"/>
      <c r="X915" s="0"/>
      <c r="Y915" s="0"/>
    </row>
    <row r="916" customFormat="false" ht="12.8" hidden="false" customHeight="false" outlineLevel="0" collapsed="false">
      <c r="G916" s="25" t="n">
        <v>44907</v>
      </c>
      <c r="H916" s="26" t="s">
        <v>10</v>
      </c>
      <c r="I916" s="5" t="n">
        <v>-76</v>
      </c>
      <c r="J916" s="54" t="s">
        <v>38</v>
      </c>
      <c r="K916" s="0"/>
      <c r="L916" s="0"/>
      <c r="U916" s="0"/>
      <c r="V916" s="0"/>
      <c r="W916" s="0"/>
      <c r="X916" s="0"/>
      <c r="Y916" s="0"/>
    </row>
    <row r="917" customFormat="false" ht="12.8" hidden="false" customHeight="false" outlineLevel="0" collapsed="false">
      <c r="G917" s="25" t="n">
        <v>44907</v>
      </c>
      <c r="H917" s="32" t="s">
        <v>15</v>
      </c>
      <c r="I917" s="5" t="n">
        <v>76</v>
      </c>
      <c r="J917" s="54" t="s">
        <v>38</v>
      </c>
      <c r="K917" s="0"/>
      <c r="L917" s="0"/>
      <c r="U917" s="0"/>
      <c r="V917" s="0"/>
      <c r="W917" s="0"/>
      <c r="X917" s="0"/>
      <c r="Y917" s="0"/>
    </row>
    <row r="918" customFormat="false" ht="12.8" hidden="false" customHeight="false" outlineLevel="0" collapsed="false">
      <c r="G918" s="25" t="n">
        <v>44907</v>
      </c>
      <c r="H918" s="32" t="s">
        <v>15</v>
      </c>
      <c r="I918" s="5" t="n">
        <v>-66</v>
      </c>
      <c r="J918" s="54" t="s">
        <v>37</v>
      </c>
      <c r="K918" s="0"/>
      <c r="L918" s="0"/>
      <c r="U918" s="0"/>
      <c r="V918" s="0"/>
      <c r="W918" s="0"/>
      <c r="X918" s="0"/>
      <c r="Y918" s="0"/>
    </row>
    <row r="919" customFormat="false" ht="12.8" hidden="false" customHeight="false" outlineLevel="0" collapsed="false">
      <c r="G919" s="25" t="n">
        <v>44907</v>
      </c>
      <c r="H919" s="26" t="s">
        <v>10</v>
      </c>
      <c r="I919" s="5" t="n">
        <v>-11</v>
      </c>
      <c r="J919" s="54" t="s">
        <v>38</v>
      </c>
      <c r="K919" s="0"/>
      <c r="L919" s="0"/>
      <c r="U919" s="0"/>
      <c r="V919" s="0"/>
      <c r="W919" s="0"/>
      <c r="X919" s="0"/>
      <c r="Y919" s="0"/>
    </row>
    <row r="920" customFormat="false" ht="12.8" hidden="false" customHeight="false" outlineLevel="0" collapsed="false">
      <c r="G920" s="25" t="n">
        <v>44907</v>
      </c>
      <c r="H920" s="32" t="s">
        <v>15</v>
      </c>
      <c r="I920" s="5" t="n">
        <v>11</v>
      </c>
      <c r="J920" s="54" t="s">
        <v>38</v>
      </c>
      <c r="K920" s="0"/>
      <c r="L920" s="0"/>
      <c r="U920" s="0"/>
      <c r="V920" s="0"/>
      <c r="W920" s="0"/>
      <c r="X920" s="0"/>
      <c r="Y920" s="0"/>
    </row>
    <row r="921" customFormat="false" ht="12.8" hidden="false" customHeight="false" outlineLevel="0" collapsed="false">
      <c r="G921" s="25" t="n">
        <v>44907</v>
      </c>
      <c r="H921" s="32" t="s">
        <v>15</v>
      </c>
      <c r="I921" s="5" t="n">
        <v>-17.36</v>
      </c>
      <c r="J921" s="54" t="s">
        <v>37</v>
      </c>
      <c r="K921" s="0"/>
      <c r="L921" s="0"/>
      <c r="U921" s="0"/>
      <c r="V921" s="0"/>
      <c r="W921" s="0"/>
      <c r="X921" s="0"/>
      <c r="Y921" s="0"/>
    </row>
    <row r="922" customFormat="false" ht="12.8" hidden="false" customHeight="false" outlineLevel="0" collapsed="false">
      <c r="G922" s="25" t="n">
        <v>44908</v>
      </c>
      <c r="H922" s="26" t="s">
        <v>10</v>
      </c>
      <c r="I922" s="5" t="n">
        <v>-73</v>
      </c>
      <c r="J922" s="54" t="s">
        <v>38</v>
      </c>
      <c r="K922" s="0"/>
      <c r="L922" s="0"/>
      <c r="U922" s="0"/>
      <c r="V922" s="0"/>
      <c r="W922" s="0"/>
      <c r="X922" s="0"/>
      <c r="Y922" s="0"/>
    </row>
    <row r="923" customFormat="false" ht="12.8" hidden="false" customHeight="false" outlineLevel="0" collapsed="false">
      <c r="G923" s="25" t="n">
        <v>44908</v>
      </c>
      <c r="H923" s="32" t="s">
        <v>15</v>
      </c>
      <c r="I923" s="5" t="n">
        <v>73</v>
      </c>
      <c r="J923" s="54" t="s">
        <v>38</v>
      </c>
      <c r="K923" s="0"/>
      <c r="L923" s="0"/>
      <c r="U923" s="0"/>
      <c r="V923" s="0"/>
      <c r="W923" s="0"/>
      <c r="X923" s="0"/>
      <c r="Y923" s="0"/>
    </row>
    <row r="924" customFormat="false" ht="12.8" hidden="false" customHeight="false" outlineLevel="0" collapsed="false">
      <c r="G924" s="25" t="n">
        <v>44908</v>
      </c>
      <c r="H924" s="32" t="s">
        <v>15</v>
      </c>
      <c r="I924" s="5" t="n">
        <v>-63.5</v>
      </c>
      <c r="J924" s="54" t="s">
        <v>37</v>
      </c>
      <c r="K924" s="0"/>
      <c r="L924" s="0"/>
      <c r="U924" s="0"/>
      <c r="V924" s="0"/>
      <c r="W924" s="0"/>
      <c r="X924" s="0"/>
      <c r="Y924" s="0"/>
    </row>
    <row r="925" customFormat="false" ht="12.8" hidden="false" customHeight="false" outlineLevel="0" collapsed="false">
      <c r="G925" s="25" t="n">
        <v>44908</v>
      </c>
      <c r="H925" s="26" t="s">
        <v>10</v>
      </c>
      <c r="I925" s="5" t="n">
        <v>-6</v>
      </c>
      <c r="J925" s="54" t="s">
        <v>38</v>
      </c>
      <c r="K925" s="0"/>
      <c r="L925" s="0"/>
      <c r="U925" s="0"/>
      <c r="V925" s="0"/>
      <c r="W925" s="0"/>
      <c r="X925" s="0"/>
      <c r="Y925" s="0"/>
    </row>
    <row r="926" customFormat="false" ht="12.8" hidden="false" customHeight="false" outlineLevel="0" collapsed="false">
      <c r="G926" s="25" t="n">
        <v>44908</v>
      </c>
      <c r="H926" s="32" t="s">
        <v>15</v>
      </c>
      <c r="I926" s="5" t="n">
        <v>6</v>
      </c>
      <c r="J926" s="54" t="s">
        <v>38</v>
      </c>
      <c r="K926" s="0"/>
      <c r="L926" s="0"/>
      <c r="U926" s="0"/>
      <c r="V926" s="0"/>
      <c r="W926" s="0"/>
      <c r="X926" s="0"/>
      <c r="Y926" s="0"/>
    </row>
    <row r="927" customFormat="false" ht="12.8" hidden="false" customHeight="false" outlineLevel="0" collapsed="false">
      <c r="G927" s="25" t="n">
        <v>44908</v>
      </c>
      <c r="H927" s="32" t="s">
        <v>15</v>
      </c>
      <c r="I927" s="5" t="n">
        <f aca="false">-14.48-6.89</f>
        <v>-21.37</v>
      </c>
      <c r="J927" s="54" t="s">
        <v>37</v>
      </c>
      <c r="K927" s="0"/>
      <c r="L927" s="0"/>
      <c r="U927" s="0"/>
      <c r="V927" s="0"/>
      <c r="W927" s="0"/>
      <c r="X927" s="0"/>
      <c r="Y927" s="0"/>
    </row>
    <row r="928" customFormat="false" ht="12.8" hidden="false" customHeight="false" outlineLevel="0" collapsed="false">
      <c r="G928" s="25" t="n">
        <v>44908</v>
      </c>
      <c r="H928" s="43" t="s">
        <v>23</v>
      </c>
      <c r="I928" s="5" t="n">
        <v>1524</v>
      </c>
      <c r="J928" s="10" t="s">
        <v>42</v>
      </c>
      <c r="K928" s="0"/>
      <c r="L928" s="0"/>
      <c r="U928" s="0"/>
      <c r="V928" s="0"/>
      <c r="W928" s="0"/>
      <c r="X928" s="0"/>
      <c r="Y928" s="0"/>
    </row>
    <row r="929" customFormat="false" ht="12.8" hidden="false" customHeight="false" outlineLevel="0" collapsed="false">
      <c r="G929" s="25" t="n">
        <v>44908</v>
      </c>
      <c r="H929" s="43" t="s">
        <v>23</v>
      </c>
      <c r="I929" s="5" t="n">
        <v>-5</v>
      </c>
      <c r="J929" s="10" t="s">
        <v>43</v>
      </c>
      <c r="K929" s="0"/>
      <c r="L929" s="0"/>
      <c r="U929" s="0"/>
      <c r="V929" s="0"/>
      <c r="W929" s="0"/>
      <c r="X929" s="0"/>
      <c r="Y929" s="0"/>
    </row>
    <row r="930" customFormat="false" ht="12.8" hidden="false" customHeight="false" outlineLevel="0" collapsed="false">
      <c r="G930" s="25" t="n">
        <v>44909</v>
      </c>
      <c r="H930" s="43" t="s">
        <v>23</v>
      </c>
      <c r="I930" s="5" t="n">
        <v>-63.5</v>
      </c>
      <c r="J930" s="10" t="s">
        <v>37</v>
      </c>
      <c r="K930" s="0"/>
      <c r="L930" s="0"/>
      <c r="U930" s="0"/>
      <c r="V930" s="0"/>
      <c r="W930" s="0"/>
      <c r="X930" s="0"/>
      <c r="Y930" s="0"/>
    </row>
    <row r="931" customFormat="false" ht="12.8" hidden="false" customHeight="false" outlineLevel="0" collapsed="false">
      <c r="G931" s="25" t="n">
        <v>44909</v>
      </c>
      <c r="H931" s="43" t="s">
        <v>23</v>
      </c>
      <c r="I931" s="5" t="n">
        <v>-22.25</v>
      </c>
      <c r="J931" s="10" t="s">
        <v>37</v>
      </c>
      <c r="K931" s="0"/>
      <c r="L931" s="0"/>
      <c r="U931" s="0"/>
      <c r="V931" s="0"/>
      <c r="W931" s="0"/>
      <c r="X931" s="0"/>
      <c r="Y931" s="0"/>
    </row>
    <row r="932" customFormat="false" ht="12.8" hidden="false" customHeight="false" outlineLevel="0" collapsed="false">
      <c r="G932" s="25" t="n">
        <v>44909</v>
      </c>
      <c r="H932" s="43" t="s">
        <v>23</v>
      </c>
      <c r="I932" s="5" t="n">
        <v>-141.6</v>
      </c>
      <c r="J932" s="0" t="s">
        <v>47</v>
      </c>
      <c r="K932" s="5"/>
      <c r="L932" s="0"/>
      <c r="U932" s="0"/>
      <c r="V932" s="0"/>
      <c r="W932" s="0"/>
      <c r="X932" s="0"/>
      <c r="Y932" s="0"/>
    </row>
    <row r="933" customFormat="false" ht="12.8" hidden="false" customHeight="false" outlineLevel="0" collapsed="false">
      <c r="G933" s="25" t="n">
        <v>44909</v>
      </c>
      <c r="H933" s="26" t="s">
        <v>10</v>
      </c>
      <c r="I933" s="5" t="n">
        <v>-190</v>
      </c>
      <c r="J933" s="54" t="s">
        <v>38</v>
      </c>
      <c r="K933" s="0"/>
      <c r="L933" s="0"/>
      <c r="U933" s="0"/>
      <c r="V933" s="0"/>
      <c r="W933" s="0"/>
      <c r="X933" s="0"/>
      <c r="Y933" s="0"/>
    </row>
    <row r="934" customFormat="false" ht="12.8" hidden="false" customHeight="false" outlineLevel="0" collapsed="false">
      <c r="G934" s="25" t="n">
        <v>44909</v>
      </c>
      <c r="H934" s="32" t="s">
        <v>15</v>
      </c>
      <c r="I934" s="5" t="n">
        <v>190</v>
      </c>
      <c r="J934" s="54" t="s">
        <v>38</v>
      </c>
      <c r="K934" s="0"/>
      <c r="L934" s="0"/>
      <c r="U934" s="0"/>
      <c r="V934" s="0"/>
      <c r="W934" s="0"/>
      <c r="X934" s="0"/>
      <c r="Y934" s="0"/>
    </row>
    <row r="935" customFormat="false" ht="12.8" hidden="false" customHeight="false" outlineLevel="0" collapsed="false">
      <c r="G935" s="25" t="n">
        <v>44909</v>
      </c>
      <c r="H935" s="32" t="s">
        <v>15</v>
      </c>
      <c r="I935" s="5" t="n">
        <v>-190</v>
      </c>
      <c r="J935" s="54" t="s">
        <v>110</v>
      </c>
      <c r="K935" s="0"/>
      <c r="L935" s="0"/>
      <c r="U935" s="0"/>
      <c r="V935" s="0"/>
      <c r="W935" s="0"/>
      <c r="X935" s="0"/>
      <c r="Y935" s="0"/>
    </row>
    <row r="936" customFormat="false" ht="12.8" hidden="false" customHeight="false" outlineLevel="0" collapsed="false">
      <c r="G936" s="25" t="n">
        <v>44909</v>
      </c>
      <c r="H936" s="48" t="s">
        <v>26</v>
      </c>
      <c r="I936" s="5" t="n">
        <v>190</v>
      </c>
      <c r="J936" s="0" t="s">
        <v>111</v>
      </c>
      <c r="K936" s="0"/>
      <c r="L936" s="0"/>
      <c r="U936" s="0"/>
      <c r="V936" s="0"/>
      <c r="W936" s="0"/>
      <c r="X936" s="0"/>
      <c r="Y936" s="0"/>
    </row>
    <row r="937" customFormat="false" ht="12.8" hidden="false" customHeight="false" outlineLevel="0" collapsed="false">
      <c r="G937" s="25" t="n">
        <v>44909</v>
      </c>
      <c r="H937" s="48" t="s">
        <v>26</v>
      </c>
      <c r="I937" s="5" t="n">
        <v>-190</v>
      </c>
      <c r="J937" s="0" t="s">
        <v>104</v>
      </c>
      <c r="K937" s="0"/>
      <c r="L937" s="0"/>
      <c r="U937" s="0"/>
      <c r="V937" s="0"/>
      <c r="W937" s="0"/>
      <c r="X937" s="0"/>
      <c r="Y937" s="0"/>
    </row>
    <row r="938" customFormat="false" ht="12.8" hidden="false" customHeight="false" outlineLevel="0" collapsed="false">
      <c r="G938" s="25" t="n">
        <v>44909</v>
      </c>
      <c r="H938" s="52" t="s">
        <v>14</v>
      </c>
      <c r="I938" s="5" t="n">
        <v>190</v>
      </c>
      <c r="J938" s="0" t="s">
        <v>104</v>
      </c>
      <c r="K938" s="0"/>
      <c r="L938" s="0"/>
      <c r="U938" s="0"/>
      <c r="V938" s="0"/>
      <c r="W938" s="0"/>
      <c r="X938" s="0"/>
      <c r="Y938" s="0"/>
    </row>
    <row r="939" customFormat="false" ht="12.8" hidden="false" customHeight="false" outlineLevel="0" collapsed="false">
      <c r="G939" s="25" t="n">
        <v>44909</v>
      </c>
      <c r="H939" s="52" t="s">
        <v>14</v>
      </c>
      <c r="I939" s="5" t="n">
        <v>2.7</v>
      </c>
      <c r="J939" s="0" t="s">
        <v>40</v>
      </c>
      <c r="K939" s="0"/>
      <c r="L939" s="0"/>
      <c r="U939" s="0"/>
      <c r="V939" s="0"/>
      <c r="W939" s="0"/>
      <c r="X939" s="0"/>
      <c r="Y939" s="0"/>
    </row>
    <row r="940" customFormat="false" ht="12.8" hidden="false" customHeight="false" outlineLevel="0" collapsed="false">
      <c r="G940" s="25" t="n">
        <v>44909</v>
      </c>
      <c r="H940" s="43" t="s">
        <v>23</v>
      </c>
      <c r="I940" s="5" t="n">
        <v>526</v>
      </c>
      <c r="J940" s="10" t="s">
        <v>42</v>
      </c>
      <c r="K940" s="0"/>
      <c r="L940" s="0"/>
      <c r="U940" s="0"/>
      <c r="V940" s="0"/>
      <c r="W940" s="0"/>
      <c r="X940" s="0"/>
      <c r="Y940" s="0"/>
    </row>
    <row r="941" customFormat="false" ht="12.8" hidden="false" customHeight="false" outlineLevel="0" collapsed="false">
      <c r="G941" s="25" t="n">
        <v>44910</v>
      </c>
      <c r="H941" s="43" t="s">
        <v>23</v>
      </c>
      <c r="I941" s="5" t="n">
        <v>-55.5</v>
      </c>
      <c r="J941" s="10" t="s">
        <v>37</v>
      </c>
      <c r="K941" s="0"/>
      <c r="L941" s="0"/>
      <c r="U941" s="0"/>
      <c r="V941" s="0"/>
      <c r="W941" s="0"/>
      <c r="X941" s="0"/>
      <c r="Y941" s="0"/>
    </row>
    <row r="942" customFormat="false" ht="12.8" hidden="false" customHeight="false" outlineLevel="0" collapsed="false">
      <c r="G942" s="25" t="n">
        <v>44910</v>
      </c>
      <c r="H942" s="43" t="s">
        <v>23</v>
      </c>
      <c r="I942" s="5" t="n">
        <v>-29.84</v>
      </c>
      <c r="J942" s="10" t="s">
        <v>37</v>
      </c>
      <c r="K942" s="0"/>
      <c r="L942" s="0"/>
      <c r="U942" s="0"/>
      <c r="V942" s="0"/>
      <c r="W942" s="0"/>
      <c r="X942" s="0"/>
      <c r="Y942" s="0"/>
    </row>
    <row r="943" customFormat="false" ht="12.8" hidden="false" customHeight="false" outlineLevel="0" collapsed="false">
      <c r="G943" s="25" t="n">
        <v>44910</v>
      </c>
      <c r="H943" s="26" t="s">
        <v>10</v>
      </c>
      <c r="I943" s="5" t="n">
        <v>-150</v>
      </c>
      <c r="J943" s="54" t="s">
        <v>38</v>
      </c>
      <c r="K943" s="0"/>
      <c r="L943" s="0"/>
      <c r="U943" s="0"/>
      <c r="V943" s="0"/>
      <c r="W943" s="0"/>
      <c r="X943" s="0"/>
      <c r="Y943" s="0"/>
    </row>
    <row r="944" customFormat="false" ht="12.8" hidden="false" customHeight="false" outlineLevel="0" collapsed="false">
      <c r="G944" s="25" t="n">
        <v>44910</v>
      </c>
      <c r="H944" s="32" t="s">
        <v>15</v>
      </c>
      <c r="I944" s="5" t="n">
        <v>150</v>
      </c>
      <c r="J944" s="54" t="s">
        <v>38</v>
      </c>
      <c r="K944" s="0"/>
      <c r="L944" s="0"/>
      <c r="U944" s="0"/>
      <c r="V944" s="0"/>
      <c r="W944" s="0"/>
      <c r="X944" s="0"/>
      <c r="Y944" s="0"/>
    </row>
    <row r="945" customFormat="false" ht="12.8" hidden="false" customHeight="false" outlineLevel="0" collapsed="false">
      <c r="G945" s="25" t="n">
        <v>44910</v>
      </c>
      <c r="H945" s="32" t="s">
        <v>15</v>
      </c>
      <c r="I945" s="5" t="n">
        <v>-150</v>
      </c>
      <c r="J945" s="54" t="s">
        <v>110</v>
      </c>
      <c r="K945" s="0"/>
      <c r="L945" s="0"/>
      <c r="U945" s="0"/>
      <c r="V945" s="0"/>
      <c r="W945" s="0"/>
      <c r="X945" s="0"/>
      <c r="Y945" s="0"/>
    </row>
    <row r="946" customFormat="false" ht="12.8" hidden="false" customHeight="false" outlineLevel="0" collapsed="false">
      <c r="G946" s="25" t="n">
        <v>44910</v>
      </c>
      <c r="H946" s="48" t="s">
        <v>26</v>
      </c>
      <c r="I946" s="5" t="n">
        <v>150</v>
      </c>
      <c r="J946" s="0" t="s">
        <v>111</v>
      </c>
      <c r="K946" s="0"/>
      <c r="L946" s="0"/>
      <c r="U946" s="0"/>
      <c r="V946" s="0"/>
      <c r="W946" s="0"/>
      <c r="X946" s="0"/>
      <c r="Y946" s="0"/>
    </row>
    <row r="947" customFormat="false" ht="12.8" hidden="false" customHeight="false" outlineLevel="0" collapsed="false">
      <c r="G947" s="25" t="n">
        <v>44910</v>
      </c>
      <c r="H947" s="48" t="s">
        <v>26</v>
      </c>
      <c r="I947" s="5" t="n">
        <v>-150</v>
      </c>
      <c r="J947" s="0" t="s">
        <v>104</v>
      </c>
      <c r="K947" s="0"/>
      <c r="L947" s="0"/>
      <c r="U947" s="0"/>
      <c r="V947" s="0"/>
      <c r="W947" s="0"/>
      <c r="X947" s="0"/>
      <c r="Y947" s="0"/>
    </row>
    <row r="948" customFormat="false" ht="12.8" hidden="false" customHeight="false" outlineLevel="0" collapsed="false">
      <c r="G948" s="25" t="n">
        <v>44910</v>
      </c>
      <c r="H948" s="52" t="s">
        <v>14</v>
      </c>
      <c r="I948" s="5" t="n">
        <v>150</v>
      </c>
      <c r="J948" s="0" t="s">
        <v>104</v>
      </c>
      <c r="K948" s="0"/>
      <c r="L948" s="0"/>
      <c r="U948" s="0"/>
      <c r="V948" s="0"/>
      <c r="W948" s="0"/>
      <c r="X948" s="0"/>
      <c r="Y948" s="0"/>
    </row>
    <row r="949" customFormat="false" ht="12.8" hidden="false" customHeight="false" outlineLevel="0" collapsed="false">
      <c r="G949" s="25" t="n">
        <v>44911</v>
      </c>
      <c r="H949" s="43" t="s">
        <v>23</v>
      </c>
      <c r="I949" s="5" t="n">
        <v>-37</v>
      </c>
      <c r="J949" s="10" t="s">
        <v>37</v>
      </c>
      <c r="K949" s="0"/>
      <c r="L949" s="0"/>
      <c r="U949" s="0"/>
      <c r="V949" s="0"/>
      <c r="W949" s="0"/>
      <c r="X949" s="0"/>
      <c r="Y949" s="0"/>
    </row>
    <row r="950" customFormat="false" ht="12.8" hidden="false" customHeight="false" outlineLevel="0" collapsed="false">
      <c r="G950" s="25" t="n">
        <v>44912</v>
      </c>
      <c r="H950" s="43" t="s">
        <v>23</v>
      </c>
      <c r="I950" s="5" t="n">
        <v>-63.5</v>
      </c>
      <c r="J950" s="10" t="s">
        <v>37</v>
      </c>
      <c r="K950" s="0"/>
      <c r="L950" s="0"/>
      <c r="U950" s="0"/>
      <c r="V950" s="0"/>
      <c r="W950" s="0"/>
      <c r="X950" s="0"/>
      <c r="Y950" s="0"/>
    </row>
    <row r="951" customFormat="false" ht="12.8" hidden="false" customHeight="false" outlineLevel="0" collapsed="false">
      <c r="G951" s="25" t="n">
        <v>44913</v>
      </c>
      <c r="H951" s="43" t="s">
        <v>23</v>
      </c>
      <c r="I951" s="5" t="n">
        <v>-63.5</v>
      </c>
      <c r="J951" s="10" t="s">
        <v>37</v>
      </c>
      <c r="K951" s="0"/>
      <c r="L951" s="0"/>
      <c r="U951" s="0"/>
      <c r="V951" s="0"/>
      <c r="W951" s="0"/>
      <c r="X951" s="0"/>
      <c r="Y951" s="0"/>
    </row>
    <row r="952" customFormat="false" ht="12.8" hidden="false" customHeight="false" outlineLevel="0" collapsed="false">
      <c r="G952" s="25" t="n">
        <v>44914</v>
      </c>
      <c r="H952" s="43" t="s">
        <v>23</v>
      </c>
      <c r="I952" s="5" t="n">
        <v>-63.5</v>
      </c>
      <c r="J952" s="10" t="s">
        <v>37</v>
      </c>
      <c r="K952" s="0"/>
      <c r="L952" s="0"/>
      <c r="U952" s="0"/>
      <c r="V952" s="0"/>
      <c r="W952" s="0"/>
      <c r="X952" s="0"/>
      <c r="Y952" s="0"/>
    </row>
    <row r="953" customFormat="false" ht="12.8" hidden="false" customHeight="false" outlineLevel="0" collapsed="false">
      <c r="G953" s="25" t="n">
        <v>44914</v>
      </c>
      <c r="H953" s="43" t="s">
        <v>23</v>
      </c>
      <c r="I953" s="5" t="n">
        <v>-126.07</v>
      </c>
      <c r="J953" s="10" t="s">
        <v>112</v>
      </c>
      <c r="K953" s="5"/>
      <c r="L953" s="0"/>
      <c r="U953" s="0"/>
      <c r="V953" s="0"/>
      <c r="W953" s="0"/>
      <c r="X953" s="0"/>
      <c r="Y953" s="0"/>
    </row>
    <row r="954" customFormat="false" ht="12.8" hidden="false" customHeight="false" outlineLevel="0" collapsed="false">
      <c r="G954" s="25" t="n">
        <v>44915</v>
      </c>
      <c r="H954" s="43" t="s">
        <v>23</v>
      </c>
      <c r="I954" s="5" t="n">
        <v>-66</v>
      </c>
      <c r="J954" s="10" t="s">
        <v>37</v>
      </c>
      <c r="K954" s="5"/>
      <c r="L954" s="0"/>
      <c r="U954" s="0"/>
      <c r="V954" s="0"/>
      <c r="W954" s="0"/>
      <c r="X954" s="0"/>
      <c r="Y954" s="0"/>
    </row>
    <row r="955" customFormat="false" ht="12.8" hidden="false" customHeight="false" outlineLevel="0" collapsed="false">
      <c r="G955" s="25" t="n">
        <v>44916</v>
      </c>
      <c r="H955" s="43" t="s">
        <v>23</v>
      </c>
      <c r="I955" s="5" t="n">
        <v>-72.74</v>
      </c>
      <c r="J955" s="0" t="s">
        <v>48</v>
      </c>
      <c r="K955" s="0"/>
      <c r="L955" s="0"/>
      <c r="U955" s="0"/>
      <c r="V955" s="0"/>
      <c r="W955" s="0"/>
      <c r="X955" s="0"/>
      <c r="Y955" s="0"/>
    </row>
    <row r="956" customFormat="false" ht="12.8" hidden="false" customHeight="false" outlineLevel="0" collapsed="false">
      <c r="G956" s="25" t="n">
        <v>44916</v>
      </c>
      <c r="H956" s="43" t="s">
        <v>23</v>
      </c>
      <c r="I956" s="5" t="n">
        <v>-59.5</v>
      </c>
      <c r="J956" s="10" t="s">
        <v>37</v>
      </c>
      <c r="K956" s="0"/>
      <c r="L956" s="0"/>
      <c r="U956" s="0"/>
      <c r="V956" s="0"/>
      <c r="W956" s="0"/>
      <c r="X956" s="0"/>
      <c r="Y956" s="0"/>
    </row>
    <row r="957" customFormat="false" ht="12.8" hidden="false" customHeight="false" outlineLevel="0" collapsed="false">
      <c r="G957" s="25" t="n">
        <v>44916</v>
      </c>
      <c r="H957" s="43" t="s">
        <v>23</v>
      </c>
      <c r="I957" s="5" t="n">
        <v>-30</v>
      </c>
      <c r="J957" s="10" t="s">
        <v>37</v>
      </c>
      <c r="K957" s="0"/>
      <c r="L957" s="0"/>
      <c r="U957" s="0"/>
      <c r="V957" s="0"/>
      <c r="W957" s="0"/>
      <c r="X957" s="0"/>
      <c r="Y957" s="0"/>
    </row>
    <row r="958" customFormat="false" ht="12.8" hidden="false" customHeight="false" outlineLevel="0" collapsed="false">
      <c r="G958" s="25" t="n">
        <v>44916</v>
      </c>
      <c r="H958" s="43" t="s">
        <v>23</v>
      </c>
      <c r="I958" s="5" t="n">
        <v>-50</v>
      </c>
      <c r="J958" s="10" t="s">
        <v>46</v>
      </c>
      <c r="K958" s="0"/>
      <c r="L958" s="0"/>
      <c r="U958" s="0"/>
      <c r="V958" s="0"/>
      <c r="W958" s="0"/>
      <c r="X958" s="0"/>
      <c r="Y958" s="0"/>
    </row>
    <row r="959" customFormat="false" ht="12.8" hidden="false" customHeight="false" outlineLevel="0" collapsed="false">
      <c r="G959" s="25" t="n">
        <v>44916</v>
      </c>
      <c r="H959" s="41" t="s">
        <v>23</v>
      </c>
      <c r="I959" s="5" t="n">
        <v>-15</v>
      </c>
      <c r="J959" s="0" t="s">
        <v>69</v>
      </c>
      <c r="K959" s="0"/>
      <c r="L959" s="0"/>
      <c r="U959" s="0"/>
      <c r="V959" s="0"/>
      <c r="W959" s="0"/>
      <c r="X959" s="0"/>
      <c r="Y959" s="0"/>
    </row>
    <row r="960" customFormat="false" ht="12.8" hidden="false" customHeight="false" outlineLevel="0" collapsed="false">
      <c r="G960" s="25" t="n">
        <v>44916</v>
      </c>
      <c r="H960" s="38" t="s">
        <v>21</v>
      </c>
      <c r="I960" s="5" t="n">
        <v>15</v>
      </c>
      <c r="J960" s="0" t="s">
        <v>69</v>
      </c>
      <c r="K960" s="0"/>
      <c r="L960" s="0"/>
      <c r="U960" s="0"/>
      <c r="V960" s="0"/>
      <c r="W960" s="0"/>
      <c r="X960" s="0"/>
      <c r="Y960" s="0"/>
    </row>
    <row r="961" customFormat="false" ht="12.8" hidden="false" customHeight="false" outlineLevel="0" collapsed="false">
      <c r="G961" s="25" t="n">
        <v>44916</v>
      </c>
      <c r="H961" s="41" t="s">
        <v>23</v>
      </c>
      <c r="I961" s="5" t="n">
        <v>-95.12</v>
      </c>
      <c r="J961" s="0" t="s">
        <v>53</v>
      </c>
      <c r="K961" s="0"/>
      <c r="L961" s="0"/>
      <c r="U961" s="0"/>
      <c r="V961" s="0"/>
      <c r="W961" s="0"/>
      <c r="X961" s="0"/>
      <c r="Y961" s="0"/>
    </row>
    <row r="962" customFormat="false" ht="12.8" hidden="false" customHeight="false" outlineLevel="0" collapsed="false">
      <c r="G962" s="25" t="n">
        <v>44916</v>
      </c>
      <c r="H962" s="41" t="s">
        <v>23</v>
      </c>
      <c r="I962" s="5" t="n">
        <v>-95.12</v>
      </c>
      <c r="J962" s="0" t="s">
        <v>113</v>
      </c>
      <c r="K962" s="0"/>
      <c r="L962" s="0"/>
      <c r="U962" s="0"/>
      <c r="V962" s="0"/>
      <c r="W962" s="0"/>
      <c r="X962" s="0"/>
      <c r="Y962" s="0"/>
    </row>
    <row r="963" customFormat="false" ht="12.8" hidden="false" customHeight="false" outlineLevel="0" collapsed="false">
      <c r="G963" s="25" t="n">
        <v>44917</v>
      </c>
      <c r="H963" s="43" t="s">
        <v>23</v>
      </c>
      <c r="I963" s="5" t="n">
        <v>-59.5</v>
      </c>
      <c r="J963" s="10" t="s">
        <v>37</v>
      </c>
      <c r="K963" s="0"/>
      <c r="L963" s="0"/>
      <c r="U963" s="0"/>
      <c r="V963" s="0"/>
      <c r="W963" s="0"/>
      <c r="X963" s="0"/>
      <c r="Y963" s="0"/>
    </row>
    <row r="964" customFormat="false" ht="12.8" hidden="false" customHeight="false" outlineLevel="0" collapsed="false">
      <c r="G964" s="25" t="n">
        <v>44917</v>
      </c>
      <c r="H964" s="43" t="s">
        <v>23</v>
      </c>
      <c r="I964" s="5" t="n">
        <v>-39.45</v>
      </c>
      <c r="J964" s="10" t="s">
        <v>37</v>
      </c>
      <c r="K964" s="0"/>
      <c r="L964" s="0"/>
      <c r="U964" s="0"/>
      <c r="V964" s="0"/>
      <c r="W964" s="0"/>
      <c r="X964" s="0"/>
      <c r="Y964" s="0"/>
    </row>
    <row r="965" customFormat="false" ht="12.8" hidden="false" customHeight="false" outlineLevel="0" collapsed="false">
      <c r="G965" s="25" t="n">
        <v>44917</v>
      </c>
      <c r="H965" s="41" t="s">
        <v>23</v>
      </c>
      <c r="I965" s="5" t="n">
        <v>250</v>
      </c>
      <c r="J965" s="10" t="s">
        <v>72</v>
      </c>
      <c r="K965" s="0"/>
      <c r="L965" s="0"/>
      <c r="U965" s="0"/>
      <c r="V965" s="0"/>
      <c r="W965" s="0"/>
      <c r="X965" s="0"/>
      <c r="Y965" s="0"/>
    </row>
    <row r="966" customFormat="false" ht="12.8" hidden="false" customHeight="false" outlineLevel="0" collapsed="false">
      <c r="G966" s="25" t="n">
        <v>44917</v>
      </c>
      <c r="H966" s="41" t="s">
        <v>23</v>
      </c>
      <c r="I966" s="5" t="n">
        <v>-5</v>
      </c>
      <c r="J966" s="10" t="s">
        <v>43</v>
      </c>
      <c r="K966" s="0"/>
      <c r="L966" s="0"/>
      <c r="U966" s="0"/>
      <c r="V966" s="0"/>
      <c r="W966" s="0"/>
      <c r="X966" s="0"/>
      <c r="Y966" s="0"/>
    </row>
    <row r="967" customFormat="false" ht="12.8" hidden="false" customHeight="false" outlineLevel="0" collapsed="false">
      <c r="G967" s="25" t="n">
        <v>44918</v>
      </c>
      <c r="H967" s="43" t="s">
        <v>23</v>
      </c>
      <c r="I967" s="5" t="n">
        <v>-59.5</v>
      </c>
      <c r="J967" s="10" t="s">
        <v>37</v>
      </c>
      <c r="K967" s="0"/>
      <c r="L967" s="0"/>
      <c r="U967" s="0"/>
      <c r="V967" s="0"/>
      <c r="W967" s="0"/>
      <c r="X967" s="0"/>
      <c r="Y967" s="0"/>
    </row>
    <row r="968" customFormat="false" ht="12.8" hidden="false" customHeight="false" outlineLevel="0" collapsed="false">
      <c r="G968" s="25" t="n">
        <v>44918</v>
      </c>
      <c r="H968" s="43" t="s">
        <v>23</v>
      </c>
      <c r="I968" s="5" t="n">
        <v>-33.73</v>
      </c>
      <c r="J968" s="10" t="s">
        <v>37</v>
      </c>
      <c r="K968" s="0"/>
      <c r="L968" s="0"/>
      <c r="U968" s="0"/>
      <c r="V968" s="0"/>
      <c r="W968" s="0"/>
      <c r="X968" s="0"/>
      <c r="Y968" s="0"/>
    </row>
    <row r="969" customFormat="false" ht="12.8" hidden="false" customHeight="false" outlineLevel="0" collapsed="false">
      <c r="G969" s="25" t="n">
        <v>44918</v>
      </c>
      <c r="H969" s="26" t="s">
        <v>10</v>
      </c>
      <c r="I969" s="5" t="n">
        <v>-250</v>
      </c>
      <c r="J969" s="54" t="s">
        <v>38</v>
      </c>
      <c r="K969" s="0"/>
      <c r="L969" s="0"/>
      <c r="U969" s="0"/>
      <c r="V969" s="0"/>
      <c r="W969" s="0"/>
      <c r="X969" s="0"/>
      <c r="Y969" s="0"/>
    </row>
    <row r="970" customFormat="false" ht="12.8" hidden="false" customHeight="false" outlineLevel="0" collapsed="false">
      <c r="G970" s="25" t="n">
        <v>44918</v>
      </c>
      <c r="H970" s="32" t="s">
        <v>15</v>
      </c>
      <c r="I970" s="5" t="n">
        <v>250</v>
      </c>
      <c r="J970" s="54" t="s">
        <v>38</v>
      </c>
      <c r="K970" s="0"/>
      <c r="L970" s="0"/>
      <c r="U970" s="0"/>
      <c r="V970" s="0"/>
      <c r="W970" s="0"/>
      <c r="X970" s="0"/>
      <c r="Y970" s="0"/>
    </row>
    <row r="971" customFormat="false" ht="12.8" hidden="false" customHeight="false" outlineLevel="0" collapsed="false">
      <c r="G971" s="25" t="n">
        <v>44918</v>
      </c>
      <c r="H971" s="32" t="s">
        <v>15</v>
      </c>
      <c r="I971" s="5" t="n">
        <v>-100</v>
      </c>
      <c r="J971" s="54" t="s">
        <v>110</v>
      </c>
      <c r="K971" s="0"/>
      <c r="L971" s="0"/>
      <c r="U971" s="0"/>
      <c r="V971" s="0"/>
      <c r="W971" s="0"/>
      <c r="X971" s="0"/>
      <c r="Y971" s="0"/>
    </row>
    <row r="972" customFormat="false" ht="12.8" hidden="false" customHeight="false" outlineLevel="0" collapsed="false">
      <c r="G972" s="25" t="n">
        <v>44918</v>
      </c>
      <c r="H972" s="48" t="s">
        <v>26</v>
      </c>
      <c r="I972" s="5" t="n">
        <v>100</v>
      </c>
      <c r="J972" s="0" t="s">
        <v>111</v>
      </c>
      <c r="K972" s="0"/>
      <c r="L972" s="0"/>
      <c r="U972" s="0"/>
      <c r="V972" s="0"/>
      <c r="W972" s="0"/>
      <c r="X972" s="0"/>
      <c r="Y972" s="0"/>
    </row>
    <row r="973" customFormat="false" ht="12.8" hidden="false" customHeight="false" outlineLevel="0" collapsed="false">
      <c r="G973" s="25" t="n">
        <v>44918</v>
      </c>
      <c r="H973" s="48" t="s">
        <v>26</v>
      </c>
      <c r="I973" s="5" t="n">
        <v>-35</v>
      </c>
      <c r="J973" s="0" t="s">
        <v>104</v>
      </c>
      <c r="K973" s="0"/>
      <c r="L973" s="0"/>
      <c r="U973" s="0"/>
      <c r="V973" s="0"/>
      <c r="W973" s="0"/>
      <c r="X973" s="0"/>
      <c r="Y973" s="0"/>
    </row>
    <row r="974" customFormat="false" ht="12.8" hidden="false" customHeight="false" outlineLevel="0" collapsed="false">
      <c r="G974" s="25" t="n">
        <v>44918</v>
      </c>
      <c r="H974" s="52" t="s">
        <v>14</v>
      </c>
      <c r="I974" s="5" t="n">
        <v>35</v>
      </c>
      <c r="J974" s="0" t="s">
        <v>104</v>
      </c>
      <c r="K974" s="0"/>
      <c r="L974" s="0"/>
      <c r="U974" s="0"/>
      <c r="V974" s="0"/>
      <c r="W974" s="0"/>
      <c r="X974" s="0"/>
      <c r="Y974" s="0"/>
    </row>
    <row r="975" customFormat="false" ht="12.8" hidden="false" customHeight="false" outlineLevel="0" collapsed="false">
      <c r="G975" s="25" t="n">
        <v>44918</v>
      </c>
      <c r="H975" s="52" t="s">
        <v>14</v>
      </c>
      <c r="I975" s="5" t="n">
        <v>3.04</v>
      </c>
      <c r="J975" s="0" t="s">
        <v>40</v>
      </c>
      <c r="K975" s="0"/>
      <c r="L975" s="0"/>
      <c r="U975" s="0"/>
      <c r="V975" s="0"/>
      <c r="W975" s="0"/>
      <c r="X975" s="0"/>
      <c r="Y975" s="0"/>
    </row>
    <row r="976" customFormat="false" ht="12.8" hidden="false" customHeight="false" outlineLevel="0" collapsed="false">
      <c r="G976" s="25" t="n">
        <v>44919</v>
      </c>
      <c r="H976" s="43" t="s">
        <v>23</v>
      </c>
      <c r="I976" s="5" t="n">
        <v>-85.04</v>
      </c>
      <c r="J976" s="10" t="s">
        <v>37</v>
      </c>
      <c r="K976" s="0"/>
      <c r="L976" s="0"/>
      <c r="U976" s="0"/>
      <c r="V976" s="0"/>
      <c r="W976" s="0"/>
      <c r="X976" s="0"/>
      <c r="Y976" s="0"/>
    </row>
    <row r="977" customFormat="false" ht="12.8" hidden="false" customHeight="false" outlineLevel="0" collapsed="false">
      <c r="G977" s="25" t="n">
        <v>44920</v>
      </c>
      <c r="H977" s="32" t="s">
        <v>15</v>
      </c>
      <c r="I977" s="5" t="n">
        <v>-150</v>
      </c>
      <c r="J977" s="54" t="s">
        <v>114</v>
      </c>
      <c r="K977" s="0"/>
      <c r="L977" s="0"/>
      <c r="U977" s="0"/>
      <c r="V977" s="0"/>
      <c r="W977" s="0"/>
      <c r="X977" s="0"/>
      <c r="Y977" s="0"/>
    </row>
    <row r="978" customFormat="false" ht="12.8" hidden="false" customHeight="false" outlineLevel="0" collapsed="false">
      <c r="G978" s="25" t="n">
        <v>44920</v>
      </c>
      <c r="H978" s="43" t="s">
        <v>23</v>
      </c>
      <c r="I978" s="5" t="n">
        <f aca="false">-14.27-37</f>
        <v>-51.27</v>
      </c>
      <c r="J978" s="10" t="s">
        <v>115</v>
      </c>
      <c r="K978" s="0"/>
      <c r="L978" s="0"/>
      <c r="U978" s="0"/>
      <c r="V978" s="0"/>
      <c r="W978" s="0"/>
      <c r="X978" s="0"/>
      <c r="Y978" s="0"/>
    </row>
    <row r="979" customFormat="false" ht="12.8" hidden="false" customHeight="false" outlineLevel="0" collapsed="false">
      <c r="G979" s="25" t="n">
        <v>44921</v>
      </c>
      <c r="H979" s="43" t="s">
        <v>23</v>
      </c>
      <c r="I979" s="5" t="n">
        <v>-55.5</v>
      </c>
      <c r="J979" s="10" t="s">
        <v>37</v>
      </c>
      <c r="K979" s="0"/>
      <c r="L979" s="0"/>
      <c r="U979" s="0"/>
      <c r="V979" s="0"/>
      <c r="W979" s="0"/>
      <c r="X979" s="0"/>
      <c r="Y979" s="0"/>
    </row>
    <row r="980" customFormat="false" ht="12.8" hidden="false" customHeight="false" outlineLevel="0" collapsed="false">
      <c r="G980" s="25" t="n">
        <v>44922</v>
      </c>
      <c r="H980" s="43" t="s">
        <v>23</v>
      </c>
      <c r="I980" s="5" t="n">
        <v>-621.2</v>
      </c>
      <c r="J980" s="10" t="s">
        <v>52</v>
      </c>
      <c r="K980" s="0"/>
      <c r="L980" s="0"/>
      <c r="U980" s="0"/>
      <c r="V980" s="0"/>
      <c r="W980" s="0"/>
      <c r="X980" s="0"/>
      <c r="Y980" s="0"/>
    </row>
    <row r="981" customFormat="false" ht="12.8" hidden="false" customHeight="false" outlineLevel="0" collapsed="false">
      <c r="G981" s="25" t="n">
        <v>44922</v>
      </c>
      <c r="H981" s="43" t="s">
        <v>23</v>
      </c>
      <c r="I981" s="5" t="n">
        <v>-55.5</v>
      </c>
      <c r="J981" s="10" t="s">
        <v>37</v>
      </c>
      <c r="K981" s="0"/>
      <c r="L981" s="0"/>
      <c r="U981" s="0"/>
      <c r="V981" s="0"/>
      <c r="W981" s="0"/>
      <c r="X981" s="0"/>
      <c r="Y981" s="0"/>
    </row>
    <row r="982" customFormat="false" ht="12.8" hidden="false" customHeight="false" outlineLevel="0" collapsed="false">
      <c r="G982" s="25" t="n">
        <v>44922</v>
      </c>
      <c r="H982" s="43" t="s">
        <v>23</v>
      </c>
      <c r="I982" s="5" t="n">
        <v>-11.86</v>
      </c>
      <c r="J982" s="10" t="s">
        <v>37</v>
      </c>
      <c r="K982" s="0"/>
      <c r="L982" s="0"/>
      <c r="U982" s="0"/>
      <c r="V982" s="0"/>
      <c r="W982" s="0"/>
      <c r="X982" s="0"/>
      <c r="Y982" s="0"/>
    </row>
    <row r="983" customFormat="false" ht="12.8" hidden="false" customHeight="false" outlineLevel="0" collapsed="false">
      <c r="G983" s="25" t="n">
        <v>44923</v>
      </c>
      <c r="H983" s="48" t="s">
        <v>26</v>
      </c>
      <c r="I983" s="5" t="n">
        <v>-50</v>
      </c>
      <c r="J983" s="0" t="s">
        <v>98</v>
      </c>
      <c r="K983" s="0"/>
      <c r="L983" s="0"/>
      <c r="U983" s="0"/>
      <c r="V983" s="0"/>
      <c r="W983" s="0"/>
      <c r="X983" s="0"/>
      <c r="Y983" s="0"/>
    </row>
    <row r="984" customFormat="false" ht="12.8" hidden="false" customHeight="false" outlineLevel="0" collapsed="false">
      <c r="G984" s="25" t="n">
        <v>44923</v>
      </c>
      <c r="H984" s="52" t="s">
        <v>14</v>
      </c>
      <c r="I984" s="5" t="n">
        <v>50</v>
      </c>
      <c r="J984" s="55" t="s">
        <v>98</v>
      </c>
      <c r="K984" s="0"/>
      <c r="L984" s="0"/>
      <c r="U984" s="0"/>
      <c r="V984" s="0"/>
      <c r="W984" s="0"/>
      <c r="X984" s="0"/>
      <c r="Y984" s="0"/>
    </row>
    <row r="985" customFormat="false" ht="12.8" hidden="false" customHeight="false" outlineLevel="0" collapsed="false">
      <c r="G985" s="25" t="n">
        <v>44923</v>
      </c>
      <c r="H985" s="52" t="s">
        <v>14</v>
      </c>
      <c r="I985" s="5" t="n">
        <f aca="false">2832.9-2831.2</f>
        <v>1.70000000000027</v>
      </c>
      <c r="J985" s="0" t="s">
        <v>40</v>
      </c>
      <c r="K985" s="0"/>
      <c r="L985" s="0"/>
      <c r="U985" s="0"/>
      <c r="V985" s="0"/>
      <c r="W985" s="0"/>
      <c r="X985" s="0"/>
      <c r="Y985" s="0"/>
    </row>
    <row r="986" customFormat="false" ht="12.8" hidden="false" customHeight="false" outlineLevel="0" collapsed="false">
      <c r="G986" s="25" t="n">
        <v>44923</v>
      </c>
      <c r="H986" s="43" t="s">
        <v>23</v>
      </c>
      <c r="I986" s="5" t="n">
        <v>-45</v>
      </c>
      <c r="J986" s="10" t="s">
        <v>37</v>
      </c>
      <c r="K986" s="0"/>
      <c r="L986" s="0"/>
      <c r="U986" s="0"/>
      <c r="V986" s="0"/>
      <c r="W986" s="0"/>
      <c r="X986" s="0"/>
      <c r="Y986" s="0"/>
    </row>
    <row r="987" customFormat="false" ht="12.8" hidden="false" customHeight="false" outlineLevel="0" collapsed="false">
      <c r="G987" s="25" t="n">
        <v>44923</v>
      </c>
      <c r="H987" s="43" t="s">
        <v>23</v>
      </c>
      <c r="I987" s="5" t="n">
        <v>-18.36</v>
      </c>
      <c r="J987" s="10" t="s">
        <v>37</v>
      </c>
      <c r="K987" s="0"/>
      <c r="L987" s="0"/>
      <c r="U987" s="0"/>
      <c r="V987" s="0"/>
      <c r="W987" s="0"/>
      <c r="X987" s="0"/>
      <c r="Y987" s="0"/>
    </row>
    <row r="988" customFormat="false" ht="12.8" hidden="false" customHeight="false" outlineLevel="0" collapsed="false">
      <c r="G988" s="25" t="n">
        <v>44924</v>
      </c>
      <c r="H988" s="26" t="s">
        <v>10</v>
      </c>
      <c r="I988" s="5" t="n">
        <v>-80</v>
      </c>
      <c r="J988" s="54" t="s">
        <v>38</v>
      </c>
      <c r="K988" s="0"/>
      <c r="L988" s="0"/>
      <c r="U988" s="0"/>
      <c r="V988" s="0"/>
      <c r="W988" s="0"/>
      <c r="X988" s="0"/>
      <c r="Y988" s="0"/>
    </row>
    <row r="989" customFormat="false" ht="12.8" hidden="false" customHeight="false" outlineLevel="0" collapsed="false">
      <c r="G989" s="25" t="n">
        <v>44924</v>
      </c>
      <c r="H989" s="32" t="s">
        <v>15</v>
      </c>
      <c r="I989" s="5" t="n">
        <v>80</v>
      </c>
      <c r="J989" s="54" t="s">
        <v>38</v>
      </c>
      <c r="K989" s="0"/>
      <c r="L989" s="0"/>
      <c r="U989" s="0"/>
      <c r="V989" s="0"/>
      <c r="W989" s="0"/>
      <c r="X989" s="0"/>
      <c r="Y989" s="0"/>
    </row>
    <row r="990" customFormat="false" ht="12.8" hidden="false" customHeight="false" outlineLevel="0" collapsed="false">
      <c r="G990" s="25" t="n">
        <v>44924</v>
      </c>
      <c r="H990" s="32" t="s">
        <v>15</v>
      </c>
      <c r="I990" s="5" t="n">
        <v>-59.5</v>
      </c>
      <c r="J990" s="54" t="s">
        <v>37</v>
      </c>
      <c r="K990" s="0"/>
      <c r="L990" s="0"/>
      <c r="U990" s="0"/>
      <c r="V990" s="0"/>
      <c r="W990" s="0"/>
      <c r="X990" s="0"/>
      <c r="Y990" s="0"/>
    </row>
    <row r="991" customFormat="false" ht="12.8" hidden="false" customHeight="false" outlineLevel="0" collapsed="false">
      <c r="G991" s="25" t="n">
        <v>44924</v>
      </c>
      <c r="H991" s="26" t="s">
        <v>10</v>
      </c>
      <c r="I991" s="5" t="n">
        <v>-13</v>
      </c>
      <c r="J991" s="54" t="s">
        <v>38</v>
      </c>
      <c r="K991" s="0"/>
      <c r="L991" s="0"/>
      <c r="U991" s="0"/>
      <c r="V991" s="0"/>
      <c r="W991" s="0"/>
      <c r="X991" s="0"/>
      <c r="Y991" s="0"/>
    </row>
    <row r="992" customFormat="false" ht="12.8" hidden="false" customHeight="false" outlineLevel="0" collapsed="false">
      <c r="G992" s="25" t="n">
        <v>44924</v>
      </c>
      <c r="H992" s="32" t="s">
        <v>15</v>
      </c>
      <c r="I992" s="5" t="n">
        <v>13</v>
      </c>
      <c r="J992" s="54" t="s">
        <v>38</v>
      </c>
      <c r="K992" s="0"/>
      <c r="L992" s="0"/>
      <c r="U992" s="0"/>
      <c r="V992" s="0"/>
      <c r="W992" s="0"/>
      <c r="X992" s="0"/>
      <c r="Y992" s="0"/>
    </row>
    <row r="993" customFormat="false" ht="12.8" hidden="false" customHeight="false" outlineLevel="0" collapsed="false">
      <c r="G993" s="25" t="n">
        <v>44924</v>
      </c>
      <c r="H993" s="32" t="s">
        <v>15</v>
      </c>
      <c r="I993" s="5" t="n">
        <v>-33.95</v>
      </c>
      <c r="J993" s="54" t="s">
        <v>37</v>
      </c>
      <c r="K993" s="0"/>
      <c r="L993" s="0"/>
      <c r="U993" s="0"/>
      <c r="V993" s="0"/>
      <c r="W993" s="0"/>
      <c r="X993" s="0"/>
      <c r="Y993" s="0"/>
    </row>
    <row r="994" customFormat="false" ht="12.8" hidden="false" customHeight="false" outlineLevel="0" collapsed="false">
      <c r="G994" s="25" t="n">
        <v>44925</v>
      </c>
      <c r="H994" s="26" t="s">
        <v>10</v>
      </c>
      <c r="I994" s="5" t="n">
        <v>-90</v>
      </c>
      <c r="J994" s="54" t="s">
        <v>38</v>
      </c>
      <c r="K994" s="0"/>
      <c r="L994" s="0"/>
      <c r="U994" s="0"/>
      <c r="V994" s="0"/>
      <c r="W994" s="0"/>
      <c r="X994" s="0"/>
      <c r="Y994" s="0"/>
    </row>
    <row r="995" customFormat="false" ht="12.8" hidden="false" customHeight="false" outlineLevel="0" collapsed="false">
      <c r="G995" s="25" t="n">
        <v>44925</v>
      </c>
      <c r="H995" s="32" t="s">
        <v>15</v>
      </c>
      <c r="I995" s="5" t="n">
        <v>90</v>
      </c>
      <c r="J995" s="54" t="s">
        <v>38</v>
      </c>
      <c r="K995" s="0"/>
      <c r="L995" s="0"/>
      <c r="U995" s="0"/>
      <c r="V995" s="0"/>
      <c r="W995" s="0"/>
      <c r="X995" s="0"/>
      <c r="Y995" s="0"/>
    </row>
    <row r="996" customFormat="false" ht="12.8" hidden="false" customHeight="false" outlineLevel="0" collapsed="false">
      <c r="G996" s="25" t="n">
        <v>44925</v>
      </c>
      <c r="H996" s="32" t="s">
        <v>15</v>
      </c>
      <c r="I996" s="5" t="n">
        <v>-66.49</v>
      </c>
      <c r="J996" s="54" t="s">
        <v>37</v>
      </c>
      <c r="K996" s="0"/>
      <c r="L996" s="0"/>
      <c r="U996" s="0"/>
      <c r="V996" s="0"/>
      <c r="W996" s="0"/>
      <c r="X996" s="0"/>
      <c r="Y996" s="0"/>
    </row>
    <row r="997" customFormat="false" ht="12.8" hidden="false" customHeight="false" outlineLevel="0" collapsed="false">
      <c r="G997" s="25" t="n">
        <v>44925</v>
      </c>
      <c r="H997" s="26" t="s">
        <v>10</v>
      </c>
      <c r="I997" s="5" t="n">
        <v>-400</v>
      </c>
      <c r="J997" s="54" t="s">
        <v>38</v>
      </c>
      <c r="K997" s="0"/>
      <c r="L997" s="0"/>
      <c r="U997" s="0"/>
      <c r="V997" s="0"/>
      <c r="W997" s="0"/>
      <c r="X997" s="0"/>
      <c r="Y997" s="0"/>
    </row>
    <row r="998" customFormat="false" ht="12.8" hidden="false" customHeight="false" outlineLevel="0" collapsed="false">
      <c r="G998" s="25" t="n">
        <v>44925</v>
      </c>
      <c r="H998" s="32" t="s">
        <v>15</v>
      </c>
      <c r="I998" s="5" t="n">
        <v>400</v>
      </c>
      <c r="J998" s="54" t="s">
        <v>38</v>
      </c>
      <c r="K998" s="0"/>
      <c r="L998" s="0"/>
      <c r="U998" s="0"/>
      <c r="V998" s="0"/>
      <c r="W998" s="0"/>
      <c r="X998" s="0"/>
      <c r="Y998" s="0"/>
    </row>
    <row r="999" customFormat="false" ht="12.8" hidden="false" customHeight="false" outlineLevel="0" collapsed="false">
      <c r="G999" s="25" t="n">
        <v>44925</v>
      </c>
      <c r="H999" s="32" t="s">
        <v>15</v>
      </c>
      <c r="I999" s="5" t="n">
        <v>-400</v>
      </c>
      <c r="J999" s="54" t="s">
        <v>110</v>
      </c>
      <c r="K999" s="0"/>
      <c r="L999" s="0"/>
      <c r="U999" s="0"/>
      <c r="V999" s="0"/>
      <c r="W999" s="0"/>
      <c r="X999" s="0"/>
      <c r="Y999" s="0"/>
    </row>
    <row r="1000" customFormat="false" ht="12.8" hidden="false" customHeight="false" outlineLevel="0" collapsed="false">
      <c r="G1000" s="25" t="n">
        <v>44925</v>
      </c>
      <c r="H1000" s="48" t="s">
        <v>26</v>
      </c>
      <c r="I1000" s="5" t="n">
        <v>400</v>
      </c>
      <c r="J1000" s="0" t="s">
        <v>111</v>
      </c>
      <c r="K1000" s="0"/>
      <c r="L1000" s="0"/>
      <c r="U1000" s="0"/>
      <c r="V1000" s="0"/>
      <c r="W1000" s="0"/>
      <c r="X1000" s="0"/>
      <c r="Y1000" s="0"/>
    </row>
    <row r="1001" customFormat="false" ht="12.8" hidden="false" customHeight="false" outlineLevel="0" collapsed="false">
      <c r="G1001" s="25" t="n">
        <v>44925</v>
      </c>
      <c r="H1001" s="48" t="s">
        <v>26</v>
      </c>
      <c r="I1001" s="5" t="n">
        <v>-400</v>
      </c>
      <c r="J1001" s="0" t="s">
        <v>104</v>
      </c>
      <c r="K1001" s="0"/>
      <c r="L1001" s="0"/>
      <c r="U1001" s="0"/>
      <c r="V1001" s="0"/>
      <c r="W1001" s="0"/>
      <c r="X1001" s="0"/>
      <c r="Y1001" s="0"/>
    </row>
    <row r="1002" customFormat="false" ht="12.8" hidden="false" customHeight="false" outlineLevel="0" collapsed="false">
      <c r="G1002" s="25" t="n">
        <v>44925</v>
      </c>
      <c r="H1002" s="52" t="s">
        <v>14</v>
      </c>
      <c r="I1002" s="5" t="n">
        <v>400</v>
      </c>
      <c r="J1002" s="0" t="s">
        <v>104</v>
      </c>
      <c r="K1002" s="0"/>
      <c r="L1002" s="0"/>
      <c r="U1002" s="0"/>
      <c r="V1002" s="0"/>
      <c r="W1002" s="0"/>
      <c r="X1002" s="0"/>
      <c r="Y1002" s="0"/>
    </row>
    <row r="1003" customFormat="false" ht="12.8" hidden="false" customHeight="false" outlineLevel="0" collapsed="false">
      <c r="G1003" s="25" t="n">
        <v>44925</v>
      </c>
      <c r="H1003" s="52" t="s">
        <v>14</v>
      </c>
      <c r="I1003" s="5" t="n">
        <f aca="false">3233.6-3232.9</f>
        <v>0.699999999999818</v>
      </c>
      <c r="J1003" s="0" t="s">
        <v>40</v>
      </c>
      <c r="K1003" s="0"/>
      <c r="L1003" s="0"/>
      <c r="U1003" s="0"/>
      <c r="V1003" s="0"/>
      <c r="W1003" s="0"/>
      <c r="X1003" s="0"/>
      <c r="Y1003" s="0"/>
    </row>
    <row r="1004" customFormat="false" ht="12.8" hidden="false" customHeight="false" outlineLevel="0" collapsed="false">
      <c r="G1004" s="25" t="n">
        <v>44926</v>
      </c>
      <c r="H1004" s="43" t="s">
        <v>23</v>
      </c>
      <c r="I1004" s="5" t="n">
        <v>-5</v>
      </c>
      <c r="J1004" s="0" t="s">
        <v>82</v>
      </c>
      <c r="K1004" s="0"/>
      <c r="L1004" s="0"/>
      <c r="U1004" s="0"/>
      <c r="V1004" s="0"/>
      <c r="W1004" s="0"/>
      <c r="X1004" s="0"/>
      <c r="Y1004" s="0"/>
    </row>
    <row r="1005" customFormat="false" ht="12.8" hidden="false" customHeight="false" outlineLevel="0" collapsed="false">
      <c r="G1005" s="25" t="n">
        <v>44926</v>
      </c>
      <c r="H1005" s="26" t="s">
        <v>10</v>
      </c>
      <c r="I1005" s="5" t="n">
        <v>-66</v>
      </c>
      <c r="J1005" s="54" t="s">
        <v>38</v>
      </c>
      <c r="K1005" s="0"/>
      <c r="L1005" s="0"/>
      <c r="U1005" s="0"/>
      <c r="V1005" s="0"/>
      <c r="W1005" s="0"/>
      <c r="X1005" s="0"/>
      <c r="Y1005" s="0"/>
    </row>
    <row r="1006" customFormat="false" ht="12.8" hidden="false" customHeight="false" outlineLevel="0" collapsed="false">
      <c r="G1006" s="25" t="n">
        <v>44926</v>
      </c>
      <c r="H1006" s="32" t="s">
        <v>15</v>
      </c>
      <c r="I1006" s="5" t="n">
        <v>66</v>
      </c>
      <c r="J1006" s="54" t="s">
        <v>38</v>
      </c>
      <c r="K1006" s="0"/>
      <c r="L1006" s="0"/>
      <c r="U1006" s="0"/>
      <c r="V1006" s="0"/>
      <c r="W1006" s="0"/>
      <c r="X1006" s="0"/>
      <c r="Y1006" s="0"/>
    </row>
    <row r="1007" customFormat="false" ht="12.8" hidden="false" customHeight="false" outlineLevel="0" collapsed="false">
      <c r="G1007" s="25" t="n">
        <v>44926</v>
      </c>
      <c r="H1007" s="32" t="s">
        <v>15</v>
      </c>
      <c r="I1007" s="5" t="n">
        <v>-60.5</v>
      </c>
      <c r="J1007" s="54" t="s">
        <v>37</v>
      </c>
      <c r="K1007" s="0"/>
      <c r="L1007" s="0"/>
      <c r="U1007" s="0"/>
      <c r="V1007" s="0"/>
      <c r="W1007" s="0"/>
      <c r="X1007" s="0"/>
      <c r="Y1007" s="0"/>
    </row>
    <row r="1008" customFormat="false" ht="12.8" hidden="false" customHeight="false" outlineLevel="0" collapsed="false">
      <c r="G1008" s="25" t="n">
        <v>44926</v>
      </c>
      <c r="H1008" s="26" t="s">
        <v>10</v>
      </c>
      <c r="I1008" s="5" t="n">
        <f aca="false">2.63</f>
        <v>2.63</v>
      </c>
      <c r="J1008" s="0" t="s">
        <v>40</v>
      </c>
      <c r="K1008" s="0"/>
      <c r="L1008" s="0"/>
      <c r="U1008" s="0"/>
      <c r="V1008" s="0"/>
      <c r="W1008" s="0"/>
      <c r="X1008" s="0"/>
      <c r="Y1008" s="0"/>
    </row>
    <row r="1009" customFormat="false" ht="12.8" hidden="false" customHeight="false" outlineLevel="0" collapsed="false">
      <c r="G1009" s="25" t="n">
        <v>44926</v>
      </c>
      <c r="H1009" s="32" t="s">
        <v>15</v>
      </c>
      <c r="I1009" s="5" t="n">
        <v>-30</v>
      </c>
      <c r="J1009" s="0" t="s">
        <v>104</v>
      </c>
      <c r="K1009" s="0"/>
      <c r="L1009" s="0"/>
      <c r="U1009" s="0"/>
      <c r="V1009" s="0"/>
      <c r="W1009" s="0"/>
      <c r="X1009" s="0"/>
      <c r="Y1009" s="0"/>
    </row>
    <row r="1010" customFormat="false" ht="12.8" hidden="false" customHeight="false" outlineLevel="0" collapsed="false">
      <c r="G1010" s="25" t="n">
        <v>44926</v>
      </c>
      <c r="H1010" s="26" t="s">
        <v>10</v>
      </c>
      <c r="I1010" s="5" t="n">
        <v>30</v>
      </c>
      <c r="J1010" s="0" t="s">
        <v>104</v>
      </c>
      <c r="K1010" s="0"/>
      <c r="L1010" s="0"/>
      <c r="U1010" s="0"/>
      <c r="V1010" s="0"/>
      <c r="W1010" s="0"/>
      <c r="X1010" s="0"/>
      <c r="Y1010" s="0"/>
    </row>
    <row r="1011" customFormat="false" ht="12.8" hidden="false" customHeight="false" outlineLevel="0" collapsed="false">
      <c r="G1011" s="25" t="n">
        <v>44926</v>
      </c>
      <c r="H1011" s="48" t="s">
        <v>26</v>
      </c>
      <c r="I1011" s="5" t="n">
        <v>-5</v>
      </c>
      <c r="J1011" s="0" t="s">
        <v>61</v>
      </c>
      <c r="K1011" s="0"/>
      <c r="L1011" s="0"/>
      <c r="U1011" s="0"/>
      <c r="V1011" s="0"/>
      <c r="W1011" s="0"/>
      <c r="X1011" s="0"/>
      <c r="Y1011" s="0"/>
    </row>
    <row r="1012" customFormat="false" ht="12.8" hidden="false" customHeight="false" outlineLevel="0" collapsed="false">
      <c r="G1012" s="25" t="n">
        <v>44927</v>
      </c>
      <c r="H1012" s="26" t="s">
        <v>10</v>
      </c>
      <c r="I1012" s="5" t="n">
        <f aca="false">-(60+0.63)</f>
        <v>-60.63</v>
      </c>
      <c r="J1012" s="54" t="s">
        <v>38</v>
      </c>
      <c r="K1012" s="0"/>
      <c r="L1012" s="0"/>
      <c r="U1012" s="0"/>
      <c r="V1012" s="0"/>
      <c r="W1012" s="0"/>
      <c r="X1012" s="0"/>
      <c r="Y1012" s="0"/>
    </row>
    <row r="1013" customFormat="false" ht="12.8" hidden="false" customHeight="false" outlineLevel="0" collapsed="false">
      <c r="G1013" s="25" t="n">
        <v>44927</v>
      </c>
      <c r="H1013" s="32" t="s">
        <v>15</v>
      </c>
      <c r="I1013" s="5" t="n">
        <f aca="false">60+0.63</f>
        <v>60.63</v>
      </c>
      <c r="J1013" s="54" t="s">
        <v>38</v>
      </c>
      <c r="K1013" s="0"/>
      <c r="L1013" s="0"/>
      <c r="U1013" s="0"/>
      <c r="V1013" s="0"/>
      <c r="W1013" s="0"/>
      <c r="X1013" s="0"/>
      <c r="Y1013" s="0"/>
    </row>
    <row r="1014" customFormat="false" ht="12.8" hidden="false" customHeight="false" outlineLevel="0" collapsed="false">
      <c r="G1014" s="25" t="n">
        <v>44928</v>
      </c>
      <c r="H1014" s="48" t="s">
        <v>26</v>
      </c>
      <c r="I1014" s="5" t="n">
        <f aca="false">-2*5</f>
        <v>-10</v>
      </c>
      <c r="J1014" s="0" t="s">
        <v>116</v>
      </c>
      <c r="K1014" s="0"/>
      <c r="L1014" s="0"/>
      <c r="U1014" s="0"/>
      <c r="V1014" s="0"/>
      <c r="W1014" s="0"/>
      <c r="X1014" s="0"/>
      <c r="Y1014" s="0"/>
    </row>
    <row r="1015" customFormat="false" ht="12.8" hidden="false" customHeight="false" outlineLevel="0" collapsed="false">
      <c r="G1015" s="25" t="n">
        <v>44928</v>
      </c>
      <c r="H1015" s="26" t="s">
        <v>10</v>
      </c>
      <c r="I1015" s="5" t="n">
        <v>-19</v>
      </c>
      <c r="J1015" s="54" t="s">
        <v>38</v>
      </c>
      <c r="K1015" s="0"/>
      <c r="L1015" s="0"/>
      <c r="U1015" s="0"/>
      <c r="V1015" s="0"/>
      <c r="W1015" s="0"/>
      <c r="X1015" s="0"/>
      <c r="Y1015" s="0"/>
    </row>
    <row r="1016" customFormat="false" ht="12.8" hidden="false" customHeight="false" outlineLevel="0" collapsed="false">
      <c r="G1016" s="25" t="n">
        <v>44928</v>
      </c>
      <c r="H1016" s="32" t="s">
        <v>15</v>
      </c>
      <c r="I1016" s="5" t="n">
        <v>19</v>
      </c>
      <c r="J1016" s="54" t="s">
        <v>38</v>
      </c>
      <c r="K1016" s="0"/>
      <c r="L1016" s="0"/>
      <c r="U1016" s="0"/>
      <c r="V1016" s="0"/>
      <c r="W1016" s="0"/>
      <c r="X1016" s="0"/>
      <c r="Y1016" s="0"/>
    </row>
    <row r="1017" customFormat="false" ht="12.8" hidden="false" customHeight="false" outlineLevel="0" collapsed="false">
      <c r="G1017" s="25" t="n">
        <v>44928</v>
      </c>
      <c r="H1017" s="32" t="s">
        <v>15</v>
      </c>
      <c r="I1017" s="5" t="n">
        <v>-59</v>
      </c>
      <c r="J1017" s="54" t="s">
        <v>115</v>
      </c>
      <c r="K1017" s="5"/>
      <c r="L1017" s="0"/>
      <c r="U1017" s="0"/>
      <c r="V1017" s="0"/>
      <c r="W1017" s="0"/>
      <c r="X1017" s="0"/>
      <c r="Y1017" s="0"/>
    </row>
    <row r="1018" customFormat="false" ht="12.8" hidden="false" customHeight="false" outlineLevel="0" collapsed="false">
      <c r="G1018" s="25" t="n">
        <v>44929</v>
      </c>
      <c r="H1018" s="52" t="s">
        <v>14</v>
      </c>
      <c r="I1018" s="5" t="n">
        <v>1.6</v>
      </c>
      <c r="J1018" s="0" t="s">
        <v>40</v>
      </c>
      <c r="K1018" s="5"/>
      <c r="L1018" s="0"/>
      <c r="U1018" s="0"/>
      <c r="V1018" s="0"/>
      <c r="W1018" s="0"/>
      <c r="X1018" s="0"/>
      <c r="Y1018" s="0"/>
    </row>
    <row r="1019" customFormat="false" ht="12.8" hidden="false" customHeight="false" outlineLevel="0" collapsed="false">
      <c r="G1019" s="25" t="n">
        <v>44929</v>
      </c>
      <c r="H1019" s="52" t="s">
        <v>14</v>
      </c>
      <c r="I1019" s="5" t="n">
        <v>-2003</v>
      </c>
      <c r="J1019" s="10" t="s">
        <v>66</v>
      </c>
      <c r="K1019" s="5"/>
      <c r="L1019" s="0"/>
      <c r="U1019" s="0"/>
      <c r="V1019" s="0"/>
      <c r="W1019" s="0"/>
      <c r="X1019" s="0"/>
      <c r="Y1019" s="0"/>
    </row>
    <row r="1020" customFormat="false" ht="12.8" hidden="false" customHeight="false" outlineLevel="0" collapsed="false">
      <c r="G1020" s="25" t="n">
        <v>44929</v>
      </c>
      <c r="H1020" s="48" t="s">
        <v>26</v>
      </c>
      <c r="I1020" s="5" t="n">
        <v>2003</v>
      </c>
      <c r="J1020" s="10" t="s">
        <v>66</v>
      </c>
      <c r="K1020" s="5"/>
      <c r="L1020" s="0"/>
      <c r="U1020" s="0"/>
      <c r="V1020" s="0"/>
      <c r="W1020" s="0"/>
      <c r="X1020" s="0"/>
      <c r="Y1020" s="0"/>
    </row>
    <row r="1021" customFormat="false" ht="12.8" hidden="false" customHeight="false" outlineLevel="0" collapsed="false">
      <c r="G1021" s="25" t="n">
        <v>44929</v>
      </c>
      <c r="H1021" s="48" t="s">
        <v>26</v>
      </c>
      <c r="I1021" s="5" t="n">
        <v>-2000</v>
      </c>
      <c r="J1021" s="55" t="s">
        <v>68</v>
      </c>
      <c r="K1021" s="0"/>
      <c r="L1021" s="0"/>
      <c r="U1021" s="0"/>
      <c r="V1021" s="0"/>
      <c r="W1021" s="0"/>
      <c r="X1021" s="0"/>
      <c r="Y1021" s="0"/>
    </row>
    <row r="1022" customFormat="false" ht="12.8" hidden="false" customHeight="false" outlineLevel="0" collapsed="false">
      <c r="G1022" s="25" t="n">
        <v>44929</v>
      </c>
      <c r="H1022" s="48" t="s">
        <v>26</v>
      </c>
      <c r="I1022" s="5" t="n">
        <v>-3</v>
      </c>
      <c r="J1022" s="55" t="s">
        <v>92</v>
      </c>
      <c r="K1022" s="0"/>
      <c r="L1022" s="0"/>
      <c r="U1022" s="0"/>
      <c r="V1022" s="0"/>
      <c r="W1022" s="0"/>
      <c r="X1022" s="0"/>
      <c r="Y1022" s="0"/>
    </row>
    <row r="1023" customFormat="false" ht="12.8" hidden="false" customHeight="false" outlineLevel="0" collapsed="false">
      <c r="G1023" s="25" t="n">
        <v>44929</v>
      </c>
      <c r="H1023" s="38" t="s">
        <v>21</v>
      </c>
      <c r="I1023" s="5" t="n">
        <v>-15</v>
      </c>
      <c r="J1023" s="27" t="s">
        <v>82</v>
      </c>
      <c r="K1023" s="0"/>
      <c r="L1023" s="0"/>
      <c r="U1023" s="0"/>
      <c r="V1023" s="0"/>
      <c r="W1023" s="0"/>
      <c r="X1023" s="0"/>
      <c r="Y1023" s="0"/>
    </row>
    <row r="1024" customFormat="false" ht="12.8" hidden="false" customHeight="false" outlineLevel="0" collapsed="false">
      <c r="G1024" s="25" t="n">
        <v>44929</v>
      </c>
      <c r="H1024" s="26" t="s">
        <v>10</v>
      </c>
      <c r="I1024" s="5" t="n">
        <v>-64</v>
      </c>
      <c r="J1024" s="55" t="s">
        <v>68</v>
      </c>
      <c r="K1024" s="5"/>
      <c r="L1024" s="0"/>
      <c r="U1024" s="0"/>
      <c r="V1024" s="0"/>
      <c r="W1024" s="0"/>
      <c r="X1024" s="0"/>
      <c r="Y1024" s="0"/>
    </row>
    <row r="1025" customFormat="false" ht="12.8" hidden="false" customHeight="false" outlineLevel="0" collapsed="false">
      <c r="G1025" s="25" t="n">
        <v>44929</v>
      </c>
      <c r="H1025" s="32" t="s">
        <v>15</v>
      </c>
      <c r="I1025" s="5" t="n">
        <v>64</v>
      </c>
      <c r="J1025" s="54" t="s">
        <v>38</v>
      </c>
      <c r="K1025" s="0"/>
      <c r="L1025" s="0"/>
      <c r="U1025" s="0"/>
      <c r="V1025" s="0"/>
      <c r="W1025" s="0"/>
      <c r="X1025" s="0"/>
      <c r="Y1025" s="0"/>
    </row>
    <row r="1026" customFormat="false" ht="12.8" hidden="false" customHeight="false" outlineLevel="0" collapsed="false">
      <c r="G1026" s="25" t="n">
        <v>44929</v>
      </c>
      <c r="H1026" s="32" t="s">
        <v>15</v>
      </c>
      <c r="I1026" s="5" t="n">
        <v>-75.8</v>
      </c>
      <c r="J1026" s="54" t="s">
        <v>37</v>
      </c>
      <c r="K1026" s="0"/>
      <c r="L1026" s="0"/>
      <c r="U1026" s="0"/>
      <c r="V1026" s="0"/>
      <c r="W1026" s="0"/>
      <c r="X1026" s="0"/>
      <c r="Y1026" s="0"/>
    </row>
    <row r="1027" customFormat="false" ht="12.8" hidden="false" customHeight="false" outlineLevel="0" collapsed="false">
      <c r="G1027" s="25" t="n">
        <v>44929</v>
      </c>
      <c r="H1027" s="32" t="s">
        <v>15</v>
      </c>
      <c r="I1027" s="5" t="n">
        <v>2000</v>
      </c>
      <c r="J1027" s="54" t="s">
        <v>68</v>
      </c>
      <c r="K1027" s="5"/>
      <c r="L1027" s="0"/>
      <c r="U1027" s="0"/>
      <c r="V1027" s="0"/>
      <c r="W1027" s="0"/>
      <c r="X1027" s="0"/>
      <c r="Y1027" s="0"/>
    </row>
    <row r="1028" customFormat="false" ht="12.8" hidden="false" customHeight="false" outlineLevel="0" collapsed="false">
      <c r="G1028" s="25" t="n">
        <v>44929</v>
      </c>
      <c r="H1028" s="32" t="s">
        <v>15</v>
      </c>
      <c r="I1028" s="5" t="n">
        <v>-2000</v>
      </c>
      <c r="J1028" s="54" t="s">
        <v>104</v>
      </c>
      <c r="K1028" s="5"/>
      <c r="L1028" s="0"/>
      <c r="U1028" s="0"/>
      <c r="V1028" s="0"/>
      <c r="W1028" s="0"/>
      <c r="X1028" s="0"/>
      <c r="Y1028" s="0"/>
    </row>
    <row r="1029" customFormat="false" ht="12.8" hidden="false" customHeight="false" outlineLevel="0" collapsed="false">
      <c r="G1029" s="25" t="n">
        <v>44929</v>
      </c>
      <c r="H1029" s="26" t="s">
        <v>10</v>
      </c>
      <c r="I1029" s="5" t="n">
        <v>2000</v>
      </c>
      <c r="J1029" s="54" t="s">
        <v>104</v>
      </c>
      <c r="K1029" s="5"/>
      <c r="L1029" s="0"/>
      <c r="U1029" s="0"/>
      <c r="V1029" s="0"/>
      <c r="W1029" s="0"/>
      <c r="X1029" s="0"/>
      <c r="Y1029" s="0"/>
    </row>
    <row r="1030" customFormat="false" ht="12.8" hidden="false" customHeight="false" outlineLevel="0" collapsed="false">
      <c r="G1030" s="25" t="n">
        <v>44930</v>
      </c>
      <c r="H1030" s="26" t="s">
        <v>10</v>
      </c>
      <c r="I1030" s="5" t="n">
        <v>-72</v>
      </c>
      <c r="J1030" s="54" t="s">
        <v>38</v>
      </c>
      <c r="K1030" s="5"/>
      <c r="L1030" s="0"/>
      <c r="U1030" s="0"/>
      <c r="V1030" s="0"/>
      <c r="W1030" s="0"/>
      <c r="X1030" s="0"/>
      <c r="Y1030" s="0"/>
    </row>
    <row r="1031" customFormat="false" ht="12.8" hidden="false" customHeight="false" outlineLevel="0" collapsed="false">
      <c r="G1031" s="25" t="n">
        <v>44930</v>
      </c>
      <c r="H1031" s="32" t="s">
        <v>15</v>
      </c>
      <c r="I1031" s="5" t="n">
        <v>72</v>
      </c>
      <c r="J1031" s="54" t="s">
        <v>38</v>
      </c>
      <c r="K1031" s="0"/>
      <c r="L1031" s="0"/>
      <c r="U1031" s="0"/>
      <c r="V1031" s="0"/>
      <c r="W1031" s="0"/>
      <c r="X1031" s="0"/>
      <c r="Y1031" s="0"/>
    </row>
    <row r="1032" customFormat="false" ht="12.8" hidden="false" customHeight="false" outlineLevel="0" collapsed="false">
      <c r="G1032" s="25" t="n">
        <v>44930</v>
      </c>
      <c r="H1032" s="32" t="s">
        <v>15</v>
      </c>
      <c r="I1032" s="5" t="n">
        <v>-75.52</v>
      </c>
      <c r="J1032" s="54" t="s">
        <v>37</v>
      </c>
      <c r="K1032" s="5"/>
      <c r="L1032" s="0"/>
      <c r="U1032" s="0"/>
      <c r="V1032" s="0"/>
      <c r="W1032" s="0"/>
      <c r="X1032" s="0"/>
      <c r="Y1032" s="0"/>
    </row>
    <row r="1033" customFormat="false" ht="12.8" hidden="false" customHeight="false" outlineLevel="0" collapsed="false">
      <c r="G1033" s="25" t="n">
        <v>44931</v>
      </c>
      <c r="H1033" s="26" t="s">
        <v>10</v>
      </c>
      <c r="I1033" s="5" t="n">
        <v>-80</v>
      </c>
      <c r="J1033" s="54" t="s">
        <v>38</v>
      </c>
      <c r="K1033" s="0"/>
      <c r="L1033" s="0"/>
      <c r="U1033" s="0"/>
      <c r="V1033" s="0"/>
      <c r="W1033" s="0"/>
      <c r="X1033" s="0"/>
      <c r="Y1033" s="0"/>
    </row>
    <row r="1034" customFormat="false" ht="12.8" hidden="false" customHeight="false" outlineLevel="0" collapsed="false">
      <c r="G1034" s="25" t="n">
        <v>44931</v>
      </c>
      <c r="H1034" s="32" t="s">
        <v>15</v>
      </c>
      <c r="I1034" s="5" t="n">
        <v>80</v>
      </c>
      <c r="J1034" s="54" t="s">
        <v>38</v>
      </c>
      <c r="K1034" s="0"/>
      <c r="L1034" s="0"/>
      <c r="U1034" s="0"/>
      <c r="V1034" s="0"/>
      <c r="W1034" s="0"/>
      <c r="X1034" s="0"/>
      <c r="Y1034" s="0"/>
    </row>
    <row r="1035" customFormat="false" ht="12.8" hidden="false" customHeight="false" outlineLevel="0" collapsed="false">
      <c r="G1035" s="25" t="n">
        <v>44931</v>
      </c>
      <c r="H1035" s="32" t="s">
        <v>15</v>
      </c>
      <c r="I1035" s="5" t="n">
        <v>-69.87</v>
      </c>
      <c r="J1035" s="54" t="s">
        <v>37</v>
      </c>
      <c r="K1035" s="0"/>
      <c r="L1035" s="0"/>
      <c r="U1035" s="0"/>
      <c r="V1035" s="0"/>
      <c r="W1035" s="0"/>
      <c r="X1035" s="0"/>
      <c r="Y1035" s="0"/>
    </row>
    <row r="1036" customFormat="false" ht="12.8" hidden="false" customHeight="false" outlineLevel="0" collapsed="false">
      <c r="G1036" s="25" t="n">
        <v>44932</v>
      </c>
      <c r="H1036" s="26" t="s">
        <v>10</v>
      </c>
      <c r="I1036" s="5" t="n">
        <v>-250</v>
      </c>
      <c r="J1036" s="54" t="s">
        <v>38</v>
      </c>
      <c r="K1036" s="0"/>
      <c r="L1036" s="0"/>
      <c r="U1036" s="0"/>
      <c r="V1036" s="0"/>
      <c r="W1036" s="0"/>
      <c r="X1036" s="0"/>
      <c r="Y1036" s="0"/>
    </row>
    <row r="1037" customFormat="false" ht="12.8" hidden="false" customHeight="false" outlineLevel="0" collapsed="false">
      <c r="G1037" s="25" t="n">
        <v>44932</v>
      </c>
      <c r="H1037" s="32" t="s">
        <v>15</v>
      </c>
      <c r="I1037" s="5" t="n">
        <v>250</v>
      </c>
      <c r="J1037" s="54" t="s">
        <v>38</v>
      </c>
      <c r="K1037" s="0"/>
      <c r="L1037" s="0"/>
      <c r="U1037" s="0"/>
      <c r="V1037" s="0"/>
      <c r="W1037" s="0"/>
      <c r="X1037" s="0"/>
      <c r="Y1037" s="0"/>
    </row>
    <row r="1038" customFormat="false" ht="12.8" hidden="false" customHeight="false" outlineLevel="0" collapsed="false">
      <c r="G1038" s="25" t="n">
        <v>44932</v>
      </c>
      <c r="H1038" s="32" t="s">
        <v>15</v>
      </c>
      <c r="I1038" s="5" t="n">
        <v>-250</v>
      </c>
      <c r="J1038" s="54" t="s">
        <v>110</v>
      </c>
      <c r="K1038" s="0"/>
      <c r="L1038" s="0"/>
      <c r="U1038" s="0"/>
      <c r="V1038" s="0"/>
      <c r="W1038" s="0"/>
      <c r="X1038" s="0"/>
      <c r="Y1038" s="0"/>
    </row>
    <row r="1039" customFormat="false" ht="12.8" hidden="false" customHeight="false" outlineLevel="0" collapsed="false">
      <c r="G1039" s="25" t="n">
        <v>44932</v>
      </c>
      <c r="H1039" s="48" t="s">
        <v>26</v>
      </c>
      <c r="I1039" s="5" t="n">
        <v>250</v>
      </c>
      <c r="J1039" s="0" t="s">
        <v>111</v>
      </c>
      <c r="K1039" s="0"/>
      <c r="L1039" s="0"/>
      <c r="U1039" s="0"/>
      <c r="V1039" s="0"/>
      <c r="W1039" s="0"/>
      <c r="X1039" s="0"/>
      <c r="Y1039" s="0"/>
    </row>
    <row r="1040" customFormat="false" ht="12.8" hidden="false" customHeight="false" outlineLevel="0" collapsed="false">
      <c r="G1040" s="25" t="n">
        <v>44932</v>
      </c>
      <c r="H1040" s="48" t="s">
        <v>26</v>
      </c>
      <c r="I1040" s="5" t="n">
        <v>-250</v>
      </c>
      <c r="J1040" s="0" t="s">
        <v>117</v>
      </c>
      <c r="K1040" s="0"/>
      <c r="L1040" s="0"/>
      <c r="U1040" s="0"/>
      <c r="V1040" s="0"/>
      <c r="W1040" s="0"/>
      <c r="X1040" s="0"/>
      <c r="Y1040" s="0"/>
    </row>
    <row r="1041" customFormat="false" ht="12.8" hidden="false" customHeight="false" outlineLevel="0" collapsed="false">
      <c r="G1041" s="25" t="n">
        <v>44932</v>
      </c>
      <c r="H1041" s="52" t="s">
        <v>14</v>
      </c>
      <c r="I1041" s="5" t="n">
        <v>250</v>
      </c>
      <c r="J1041" s="0" t="s">
        <v>117</v>
      </c>
      <c r="K1041" s="0"/>
      <c r="L1041" s="0"/>
      <c r="U1041" s="0"/>
      <c r="V1041" s="0"/>
      <c r="W1041" s="0"/>
      <c r="X1041" s="0"/>
      <c r="Y1041" s="0"/>
    </row>
    <row r="1042" customFormat="false" ht="12.8" hidden="false" customHeight="false" outlineLevel="0" collapsed="false">
      <c r="G1042" s="25" t="n">
        <v>44932</v>
      </c>
      <c r="H1042" s="52" t="s">
        <v>14</v>
      </c>
      <c r="I1042" s="5" t="n">
        <f aca="false">-1482.2+1482.65</f>
        <v>0.450000000000046</v>
      </c>
      <c r="J1042" s="0" t="s">
        <v>40</v>
      </c>
      <c r="K1042" s="0"/>
      <c r="L1042" s="0"/>
      <c r="U1042" s="0"/>
      <c r="V1042" s="0"/>
      <c r="W1042" s="0"/>
      <c r="X1042" s="0"/>
      <c r="Y1042" s="0"/>
    </row>
    <row r="1043" customFormat="false" ht="12.8" hidden="false" customHeight="false" outlineLevel="0" collapsed="false">
      <c r="G1043" s="25" t="n">
        <v>44932</v>
      </c>
      <c r="H1043" s="26" t="s">
        <v>10</v>
      </c>
      <c r="I1043" s="5" t="n">
        <v>-70</v>
      </c>
      <c r="J1043" s="54" t="s">
        <v>38</v>
      </c>
      <c r="K1043" s="0"/>
      <c r="L1043" s="0"/>
      <c r="U1043" s="0"/>
      <c r="V1043" s="0"/>
      <c r="W1043" s="0"/>
      <c r="X1043" s="0"/>
      <c r="Y1043" s="0"/>
    </row>
    <row r="1044" customFormat="false" ht="12.8" hidden="false" customHeight="false" outlineLevel="0" collapsed="false">
      <c r="G1044" s="25" t="n">
        <v>44932</v>
      </c>
      <c r="H1044" s="32" t="s">
        <v>15</v>
      </c>
      <c r="I1044" s="5" t="n">
        <v>70</v>
      </c>
      <c r="J1044" s="54" t="s">
        <v>38</v>
      </c>
      <c r="K1044" s="0"/>
      <c r="L1044" s="0"/>
      <c r="U1044" s="0"/>
      <c r="V1044" s="0"/>
      <c r="W1044" s="0"/>
      <c r="X1044" s="0"/>
      <c r="Y1044" s="0"/>
    </row>
    <row r="1045" customFormat="false" ht="12.8" hidden="false" customHeight="false" outlineLevel="0" collapsed="false">
      <c r="G1045" s="25" t="n">
        <v>44932</v>
      </c>
      <c r="H1045" s="32" t="s">
        <v>15</v>
      </c>
      <c r="I1045" s="5" t="n">
        <v>-67.5</v>
      </c>
      <c r="J1045" s="54" t="s">
        <v>37</v>
      </c>
      <c r="K1045" s="0"/>
      <c r="L1045" s="0"/>
      <c r="U1045" s="0"/>
      <c r="V1045" s="0"/>
      <c r="W1045" s="0"/>
      <c r="X1045" s="0"/>
      <c r="Y1045" s="0"/>
    </row>
    <row r="1046" customFormat="false" ht="12.8" hidden="false" customHeight="false" outlineLevel="0" collapsed="false">
      <c r="G1046" s="25" t="n">
        <v>44933</v>
      </c>
      <c r="H1046" s="26" t="s">
        <v>10</v>
      </c>
      <c r="I1046" s="5" t="n">
        <v>-67</v>
      </c>
      <c r="J1046" s="54" t="s">
        <v>38</v>
      </c>
      <c r="K1046" s="0"/>
      <c r="L1046" s="0"/>
      <c r="U1046" s="0"/>
      <c r="V1046" s="0"/>
      <c r="W1046" s="0"/>
      <c r="X1046" s="0"/>
      <c r="Y1046" s="0"/>
    </row>
    <row r="1047" customFormat="false" ht="12.8" hidden="false" customHeight="false" outlineLevel="0" collapsed="false">
      <c r="G1047" s="25" t="n">
        <v>44933</v>
      </c>
      <c r="H1047" s="32" t="s">
        <v>15</v>
      </c>
      <c r="I1047" s="5" t="n">
        <v>67</v>
      </c>
      <c r="J1047" s="54" t="s">
        <v>38</v>
      </c>
      <c r="K1047" s="0"/>
      <c r="L1047" s="0"/>
      <c r="U1047" s="0"/>
      <c r="V1047" s="0"/>
      <c r="W1047" s="0"/>
      <c r="X1047" s="0"/>
      <c r="Y1047" s="0"/>
    </row>
    <row r="1048" customFormat="false" ht="12.8" hidden="false" customHeight="false" outlineLevel="0" collapsed="false">
      <c r="G1048" s="25" t="n">
        <v>44933</v>
      </c>
      <c r="H1048" s="32" t="s">
        <v>15</v>
      </c>
      <c r="I1048" s="5" t="n">
        <v>-72.36</v>
      </c>
      <c r="J1048" s="54" t="s">
        <v>37</v>
      </c>
      <c r="K1048" s="0"/>
      <c r="L1048" s="0"/>
      <c r="U1048" s="0"/>
      <c r="V1048" s="0"/>
      <c r="W1048" s="0"/>
      <c r="X1048" s="0"/>
      <c r="Y1048" s="0"/>
    </row>
    <row r="1049" customFormat="false" ht="12.8" hidden="false" customHeight="false" outlineLevel="0" collapsed="false">
      <c r="G1049" s="25" t="n">
        <v>44934</v>
      </c>
      <c r="H1049" s="26" t="s">
        <v>10</v>
      </c>
      <c r="I1049" s="5" t="n">
        <v>-72</v>
      </c>
      <c r="J1049" s="54" t="s">
        <v>38</v>
      </c>
      <c r="K1049" s="0"/>
      <c r="L1049" s="0"/>
      <c r="U1049" s="0"/>
      <c r="V1049" s="0"/>
      <c r="W1049" s="0"/>
      <c r="X1049" s="0"/>
      <c r="Y1049" s="0"/>
    </row>
    <row r="1050" customFormat="false" ht="12.8" hidden="false" customHeight="false" outlineLevel="0" collapsed="false">
      <c r="G1050" s="25" t="n">
        <v>44934</v>
      </c>
      <c r="H1050" s="32" t="s">
        <v>15</v>
      </c>
      <c r="I1050" s="5" t="n">
        <v>72</v>
      </c>
      <c r="J1050" s="54" t="s">
        <v>38</v>
      </c>
      <c r="K1050" s="0"/>
      <c r="L1050" s="0"/>
      <c r="U1050" s="0"/>
      <c r="V1050" s="0"/>
      <c r="W1050" s="0"/>
      <c r="X1050" s="0"/>
      <c r="Y1050" s="0"/>
    </row>
    <row r="1051" customFormat="false" ht="12.8" hidden="false" customHeight="false" outlineLevel="0" collapsed="false">
      <c r="G1051" s="25" t="n">
        <v>44934</v>
      </c>
      <c r="H1051" s="32" t="s">
        <v>15</v>
      </c>
      <c r="I1051" s="5" t="n">
        <v>-60.5</v>
      </c>
      <c r="J1051" s="54" t="s">
        <v>37</v>
      </c>
      <c r="K1051" s="0"/>
      <c r="L1051" s="0"/>
      <c r="U1051" s="0"/>
      <c r="V1051" s="0"/>
      <c r="W1051" s="0"/>
      <c r="X1051" s="0"/>
      <c r="Y1051" s="0"/>
    </row>
    <row r="1052" customFormat="false" ht="12.8" hidden="false" customHeight="false" outlineLevel="0" collapsed="false">
      <c r="G1052" s="25" t="n">
        <v>44935</v>
      </c>
      <c r="H1052" s="26" t="s">
        <v>10</v>
      </c>
      <c r="I1052" s="5" t="n">
        <v>-61</v>
      </c>
      <c r="J1052" s="54" t="s">
        <v>38</v>
      </c>
      <c r="K1052" s="0"/>
      <c r="L1052" s="0"/>
      <c r="U1052" s="0"/>
      <c r="V1052" s="0"/>
      <c r="W1052" s="0"/>
      <c r="X1052" s="0"/>
      <c r="Y1052" s="0"/>
    </row>
    <row r="1053" customFormat="false" ht="12.8" hidden="false" customHeight="false" outlineLevel="0" collapsed="false">
      <c r="G1053" s="25" t="n">
        <v>44935</v>
      </c>
      <c r="H1053" s="32" t="s">
        <v>15</v>
      </c>
      <c r="I1053" s="5" t="n">
        <v>61</v>
      </c>
      <c r="J1053" s="54" t="s">
        <v>38</v>
      </c>
      <c r="K1053" s="0"/>
      <c r="L1053" s="0"/>
      <c r="U1053" s="0"/>
      <c r="V1053" s="0"/>
      <c r="W1053" s="0"/>
      <c r="X1053" s="0"/>
      <c r="Y1053" s="0"/>
    </row>
    <row r="1054" customFormat="false" ht="12.8" hidden="false" customHeight="false" outlineLevel="0" collapsed="false">
      <c r="G1054" s="25" t="n">
        <v>44935</v>
      </c>
      <c r="H1054" s="32" t="s">
        <v>15</v>
      </c>
      <c r="I1054" s="5" t="n">
        <v>-83.84</v>
      </c>
      <c r="J1054" s="54" t="s">
        <v>37</v>
      </c>
      <c r="K1054" s="0"/>
      <c r="L1054" s="0"/>
      <c r="U1054" s="0"/>
      <c r="V1054" s="0"/>
      <c r="W1054" s="0"/>
      <c r="X1054" s="0"/>
      <c r="Y1054" s="0"/>
    </row>
    <row r="1055" customFormat="false" ht="12.8" hidden="false" customHeight="false" outlineLevel="0" collapsed="false">
      <c r="G1055" s="25" t="n">
        <v>44936</v>
      </c>
      <c r="H1055" s="26" t="s">
        <v>10</v>
      </c>
      <c r="I1055" s="5" t="n">
        <v>-84</v>
      </c>
      <c r="J1055" s="54" t="s">
        <v>38</v>
      </c>
      <c r="K1055" s="0"/>
      <c r="L1055" s="0"/>
      <c r="U1055" s="0"/>
      <c r="V1055" s="0"/>
      <c r="W1055" s="0"/>
      <c r="X1055" s="0"/>
      <c r="Y1055" s="0"/>
    </row>
    <row r="1056" customFormat="false" ht="12.8" hidden="false" customHeight="false" outlineLevel="0" collapsed="false">
      <c r="G1056" s="25" t="n">
        <v>44936</v>
      </c>
      <c r="H1056" s="32" t="s">
        <v>15</v>
      </c>
      <c r="I1056" s="5" t="n">
        <v>84</v>
      </c>
      <c r="J1056" s="54" t="s">
        <v>38</v>
      </c>
      <c r="K1056" s="0"/>
      <c r="L1056" s="0"/>
      <c r="U1056" s="0"/>
      <c r="V1056" s="0"/>
      <c r="W1056" s="0"/>
      <c r="X1056" s="0"/>
      <c r="Y1056" s="0"/>
    </row>
    <row r="1057" customFormat="false" ht="12.8" hidden="false" customHeight="false" outlineLevel="0" collapsed="false">
      <c r="G1057" s="25" t="n">
        <v>44936</v>
      </c>
      <c r="H1057" s="32" t="s">
        <v>15</v>
      </c>
      <c r="I1057" s="5" t="n">
        <v>-80.81</v>
      </c>
      <c r="J1057" s="54" t="s">
        <v>37</v>
      </c>
      <c r="K1057" s="0"/>
      <c r="L1057" s="0"/>
      <c r="U1057" s="0"/>
      <c r="V1057" s="0"/>
      <c r="W1057" s="0"/>
      <c r="X1057" s="0"/>
      <c r="Y1057" s="0"/>
    </row>
    <row r="1058" customFormat="false" ht="12.8" hidden="false" customHeight="false" outlineLevel="0" collapsed="false">
      <c r="G1058" s="25" t="n">
        <v>44937</v>
      </c>
      <c r="H1058" s="26" t="s">
        <v>10</v>
      </c>
      <c r="I1058" s="5" t="n">
        <v>-81</v>
      </c>
      <c r="J1058" s="54" t="s">
        <v>38</v>
      </c>
      <c r="K1058" s="0"/>
      <c r="L1058" s="0"/>
      <c r="U1058" s="0"/>
      <c r="V1058" s="0"/>
      <c r="W1058" s="0"/>
      <c r="X1058" s="0"/>
      <c r="Y1058" s="0"/>
    </row>
    <row r="1059" customFormat="false" ht="12.8" hidden="false" customHeight="false" outlineLevel="0" collapsed="false">
      <c r="G1059" s="25" t="n">
        <v>44937</v>
      </c>
      <c r="H1059" s="32" t="s">
        <v>15</v>
      </c>
      <c r="I1059" s="5" t="n">
        <v>81</v>
      </c>
      <c r="J1059" s="54" t="s">
        <v>38</v>
      </c>
      <c r="K1059" s="0"/>
      <c r="L1059" s="0"/>
      <c r="U1059" s="0"/>
      <c r="V1059" s="0"/>
      <c r="W1059" s="0"/>
      <c r="X1059" s="0"/>
      <c r="Y1059" s="0"/>
    </row>
    <row r="1060" customFormat="false" ht="12.8" hidden="false" customHeight="false" outlineLevel="0" collapsed="false">
      <c r="G1060" s="25" t="n">
        <v>44937</v>
      </c>
      <c r="H1060" s="32" t="s">
        <v>15</v>
      </c>
      <c r="I1060" s="5" t="n">
        <v>-64.05</v>
      </c>
      <c r="J1060" s="54" t="s">
        <v>37</v>
      </c>
      <c r="K1060" s="0"/>
      <c r="L1060" s="0"/>
      <c r="U1060" s="0"/>
      <c r="V1060" s="0"/>
      <c r="W1060" s="0"/>
      <c r="X1060" s="0"/>
      <c r="Y1060" s="0"/>
    </row>
    <row r="1061" customFormat="false" ht="12.8" hidden="false" customHeight="false" outlineLevel="0" collapsed="false">
      <c r="G1061" s="25" t="n">
        <v>44937</v>
      </c>
      <c r="H1061" s="26" t="s">
        <v>10</v>
      </c>
      <c r="I1061" s="5" t="n">
        <v>-403</v>
      </c>
      <c r="J1061" s="54" t="s">
        <v>38</v>
      </c>
      <c r="K1061" s="0"/>
      <c r="L1061" s="0"/>
      <c r="U1061" s="0"/>
      <c r="V1061" s="0"/>
      <c r="W1061" s="0"/>
      <c r="X1061" s="0"/>
      <c r="Y1061" s="0"/>
    </row>
    <row r="1062" customFormat="false" ht="12.8" hidden="false" customHeight="false" outlineLevel="0" collapsed="false">
      <c r="G1062" s="25" t="n">
        <v>44937</v>
      </c>
      <c r="H1062" s="32" t="s">
        <v>15</v>
      </c>
      <c r="I1062" s="5" t="n">
        <v>403</v>
      </c>
      <c r="J1062" s="54" t="s">
        <v>38</v>
      </c>
      <c r="K1062" s="0"/>
      <c r="L1062" s="0"/>
      <c r="U1062" s="0"/>
      <c r="V1062" s="0"/>
      <c r="W1062" s="0"/>
      <c r="X1062" s="0"/>
      <c r="Y1062" s="0"/>
    </row>
    <row r="1063" customFormat="false" ht="12.8" hidden="false" customHeight="false" outlineLevel="0" collapsed="false">
      <c r="G1063" s="25" t="n">
        <v>44937</v>
      </c>
      <c r="H1063" s="32" t="s">
        <v>15</v>
      </c>
      <c r="I1063" s="5" t="n">
        <v>-403</v>
      </c>
      <c r="J1063" s="54" t="s">
        <v>110</v>
      </c>
      <c r="K1063" s="0"/>
      <c r="L1063" s="0"/>
      <c r="U1063" s="0"/>
      <c r="V1063" s="0"/>
      <c r="W1063" s="0"/>
      <c r="X1063" s="0"/>
      <c r="Y1063" s="0"/>
    </row>
    <row r="1064" customFormat="false" ht="12.8" hidden="false" customHeight="false" outlineLevel="0" collapsed="false">
      <c r="G1064" s="25" t="n">
        <v>44937</v>
      </c>
      <c r="H1064" s="48" t="s">
        <v>26</v>
      </c>
      <c r="I1064" s="5" t="n">
        <v>403</v>
      </c>
      <c r="J1064" s="0" t="s">
        <v>111</v>
      </c>
      <c r="K1064" s="0"/>
      <c r="L1064" s="0"/>
      <c r="U1064" s="0"/>
      <c r="V1064" s="0"/>
      <c r="W1064" s="0"/>
      <c r="X1064" s="0"/>
      <c r="Y1064" s="0"/>
    </row>
    <row r="1065" customFormat="false" ht="12.8" hidden="false" customHeight="false" outlineLevel="0" collapsed="false">
      <c r="G1065" s="25" t="n">
        <v>44937</v>
      </c>
      <c r="H1065" s="48" t="s">
        <v>26</v>
      </c>
      <c r="I1065" s="5" t="n">
        <v>2500</v>
      </c>
      <c r="J1065" s="0" t="s">
        <v>86</v>
      </c>
      <c r="K1065" s="0"/>
      <c r="L1065" s="0"/>
      <c r="U1065" s="0"/>
      <c r="V1065" s="0"/>
      <c r="W1065" s="0"/>
      <c r="X1065" s="0"/>
      <c r="Y1065" s="0"/>
    </row>
    <row r="1066" customFormat="false" ht="12.8" hidden="false" customHeight="false" outlineLevel="0" collapsed="false">
      <c r="G1066" s="25" t="n">
        <v>44937</v>
      </c>
      <c r="H1066" s="48" t="s">
        <v>26</v>
      </c>
      <c r="I1066" s="5" t="n">
        <v>-2903</v>
      </c>
      <c r="J1066" s="0" t="s">
        <v>117</v>
      </c>
      <c r="K1066" s="0"/>
      <c r="L1066" s="0"/>
      <c r="U1066" s="0"/>
      <c r="V1066" s="0"/>
      <c r="W1066" s="0"/>
      <c r="X1066" s="0"/>
      <c r="Y1066" s="0"/>
    </row>
    <row r="1067" customFormat="false" ht="12.8" hidden="false" customHeight="false" outlineLevel="0" collapsed="false">
      <c r="G1067" s="25" t="n">
        <v>44937</v>
      </c>
      <c r="H1067" s="52" t="s">
        <v>14</v>
      </c>
      <c r="I1067" s="5" t="n">
        <v>2903</v>
      </c>
      <c r="J1067" s="0" t="s">
        <v>117</v>
      </c>
      <c r="K1067" s="0"/>
      <c r="L1067" s="0"/>
      <c r="U1067" s="0"/>
      <c r="V1067" s="0"/>
      <c r="W1067" s="0"/>
      <c r="X1067" s="0"/>
      <c r="Y1067" s="0"/>
    </row>
    <row r="1068" customFormat="false" ht="12.8" hidden="false" customHeight="false" outlineLevel="0" collapsed="false">
      <c r="G1068" s="25" t="n">
        <v>44937</v>
      </c>
      <c r="H1068" s="52" t="s">
        <v>14</v>
      </c>
      <c r="I1068" s="5" t="n">
        <f aca="false">4386.55-4385.65</f>
        <v>0.900000000000546</v>
      </c>
      <c r="J1068" s="0" t="s">
        <v>40</v>
      </c>
      <c r="K1068" s="0"/>
      <c r="L1068" s="0"/>
      <c r="U1068" s="0"/>
      <c r="V1068" s="0"/>
      <c r="W1068" s="0"/>
      <c r="X1068" s="0"/>
      <c r="Y1068" s="0"/>
    </row>
    <row r="1069" customFormat="false" ht="12.8" hidden="false" customHeight="false" outlineLevel="0" collapsed="false">
      <c r="G1069" s="25" t="n">
        <v>44938</v>
      </c>
      <c r="H1069" s="26" t="s">
        <v>10</v>
      </c>
      <c r="I1069" s="5" t="n">
        <v>-64</v>
      </c>
      <c r="J1069" s="54" t="s">
        <v>38</v>
      </c>
      <c r="K1069" s="0"/>
      <c r="L1069" s="0"/>
      <c r="U1069" s="0"/>
      <c r="V1069" s="0"/>
      <c r="W1069" s="0"/>
      <c r="X1069" s="0"/>
      <c r="Y1069" s="0"/>
    </row>
    <row r="1070" customFormat="false" ht="12.8" hidden="false" customHeight="false" outlineLevel="0" collapsed="false">
      <c r="G1070" s="25" t="n">
        <v>44938</v>
      </c>
      <c r="H1070" s="32" t="s">
        <v>15</v>
      </c>
      <c r="I1070" s="5" t="n">
        <v>64</v>
      </c>
      <c r="J1070" s="54" t="s">
        <v>38</v>
      </c>
      <c r="K1070" s="0"/>
      <c r="L1070" s="0"/>
      <c r="U1070" s="0"/>
      <c r="V1070" s="0"/>
      <c r="W1070" s="0"/>
      <c r="X1070" s="0"/>
      <c r="Y1070" s="0"/>
    </row>
    <row r="1071" customFormat="false" ht="12.8" hidden="false" customHeight="false" outlineLevel="0" collapsed="false">
      <c r="G1071" s="25" t="n">
        <v>44938</v>
      </c>
      <c r="H1071" s="32" t="s">
        <v>15</v>
      </c>
      <c r="I1071" s="5" t="n">
        <v>-67.38</v>
      </c>
      <c r="J1071" s="54" t="s">
        <v>37</v>
      </c>
      <c r="K1071" s="0"/>
      <c r="L1071" s="0"/>
      <c r="U1071" s="0"/>
      <c r="V1071" s="0"/>
      <c r="W1071" s="0"/>
      <c r="X1071" s="0"/>
      <c r="Y1071" s="0"/>
    </row>
    <row r="1072" customFormat="false" ht="12.8" hidden="false" customHeight="false" outlineLevel="0" collapsed="false">
      <c r="G1072" s="25" t="n">
        <v>44939</v>
      </c>
      <c r="H1072" s="26" t="s">
        <v>10</v>
      </c>
      <c r="I1072" s="5" t="n">
        <v>-67</v>
      </c>
      <c r="J1072" s="54" t="s">
        <v>38</v>
      </c>
      <c r="K1072" s="0"/>
      <c r="L1072" s="0"/>
      <c r="U1072" s="0"/>
      <c r="V1072" s="0"/>
      <c r="W1072" s="0"/>
      <c r="X1072" s="0"/>
      <c r="Y1072" s="0"/>
    </row>
    <row r="1073" customFormat="false" ht="12.8" hidden="false" customHeight="false" outlineLevel="0" collapsed="false">
      <c r="G1073" s="25" t="n">
        <v>44939</v>
      </c>
      <c r="H1073" s="32" t="s">
        <v>15</v>
      </c>
      <c r="I1073" s="5" t="n">
        <v>67</v>
      </c>
      <c r="J1073" s="54" t="s">
        <v>38</v>
      </c>
      <c r="K1073" s="0"/>
      <c r="L1073" s="0"/>
      <c r="U1073" s="0"/>
      <c r="V1073" s="0"/>
      <c r="W1073" s="0"/>
      <c r="X1073" s="0"/>
      <c r="Y1073" s="0"/>
    </row>
    <row r="1074" customFormat="false" ht="12.8" hidden="false" customHeight="false" outlineLevel="0" collapsed="false">
      <c r="G1074" s="25" t="n">
        <v>44939</v>
      </c>
      <c r="H1074" s="32" t="s">
        <v>15</v>
      </c>
      <c r="I1074" s="5" t="n">
        <v>-69.22</v>
      </c>
      <c r="J1074" s="54" t="s">
        <v>37</v>
      </c>
      <c r="K1074" s="0"/>
      <c r="L1074" s="0"/>
      <c r="U1074" s="0"/>
      <c r="V1074" s="0"/>
      <c r="W1074" s="0"/>
      <c r="X1074" s="0"/>
      <c r="Y1074" s="0"/>
    </row>
    <row r="1075" customFormat="false" ht="12.8" hidden="false" customHeight="false" outlineLevel="0" collapsed="false">
      <c r="G1075" s="25" t="n">
        <v>44939</v>
      </c>
      <c r="H1075" s="43" t="s">
        <v>23</v>
      </c>
      <c r="I1075" s="5" t="n">
        <v>1524</v>
      </c>
      <c r="J1075" s="10" t="s">
        <v>70</v>
      </c>
      <c r="K1075" s="0"/>
      <c r="L1075" s="0"/>
      <c r="U1075" s="0"/>
      <c r="V1075" s="0"/>
      <c r="W1075" s="0"/>
      <c r="X1075" s="0"/>
      <c r="Y1075" s="0"/>
    </row>
    <row r="1076" customFormat="false" ht="12.8" hidden="false" customHeight="false" outlineLevel="0" collapsed="false">
      <c r="G1076" s="25" t="n">
        <v>44939</v>
      </c>
      <c r="H1076" s="43" t="s">
        <v>23</v>
      </c>
      <c r="I1076" s="5" t="n">
        <v>-5</v>
      </c>
      <c r="J1076" s="10" t="s">
        <v>43</v>
      </c>
      <c r="K1076" s="0"/>
      <c r="L1076" s="0"/>
      <c r="U1076" s="0"/>
      <c r="V1076" s="0"/>
      <c r="W1076" s="0"/>
      <c r="X1076" s="0"/>
      <c r="Y1076" s="0"/>
    </row>
    <row r="1077" customFormat="false" ht="12.8" hidden="false" customHeight="false" outlineLevel="0" collapsed="false">
      <c r="G1077" s="25" t="n">
        <v>44939</v>
      </c>
      <c r="H1077" s="43" t="s">
        <v>23</v>
      </c>
      <c r="I1077" s="5" t="n">
        <v>894</v>
      </c>
      <c r="J1077" s="10" t="s">
        <v>70</v>
      </c>
      <c r="K1077" s="0"/>
      <c r="L1077" s="0"/>
      <c r="U1077" s="0"/>
      <c r="V1077" s="0"/>
      <c r="W1077" s="0"/>
      <c r="X1077" s="0"/>
      <c r="Y1077" s="0"/>
    </row>
    <row r="1078" customFormat="false" ht="12.8" hidden="false" customHeight="false" outlineLevel="0" collapsed="false">
      <c r="G1078" s="25" t="n">
        <v>44939</v>
      </c>
      <c r="H1078" s="43" t="s">
        <v>23</v>
      </c>
      <c r="I1078" s="5" t="n">
        <v>-50</v>
      </c>
      <c r="J1078" s="54" t="s">
        <v>46</v>
      </c>
      <c r="K1078" s="0"/>
      <c r="L1078" s="0"/>
      <c r="U1078" s="0"/>
      <c r="V1078" s="0"/>
      <c r="W1078" s="0"/>
      <c r="X1078" s="0"/>
      <c r="Y1078" s="0"/>
    </row>
    <row r="1079" customFormat="false" ht="12.8" hidden="false" customHeight="false" outlineLevel="0" collapsed="false">
      <c r="G1079" s="25" t="n">
        <v>44940</v>
      </c>
      <c r="H1079" s="43" t="s">
        <v>23</v>
      </c>
      <c r="I1079" s="5" t="n">
        <v>-89.06</v>
      </c>
      <c r="J1079" s="10" t="s">
        <v>37</v>
      </c>
      <c r="K1079" s="0"/>
      <c r="L1079" s="0"/>
      <c r="U1079" s="0"/>
      <c r="V1079" s="0"/>
      <c r="W1079" s="0"/>
      <c r="X1079" s="0"/>
      <c r="Y1079" s="0"/>
    </row>
    <row r="1080" customFormat="false" ht="12.8" hidden="false" customHeight="false" outlineLevel="0" collapsed="false">
      <c r="G1080" s="25" t="n">
        <v>44940</v>
      </c>
      <c r="H1080" s="26" t="s">
        <v>10</v>
      </c>
      <c r="I1080" s="5" t="n">
        <v>-369</v>
      </c>
      <c r="J1080" s="54" t="s">
        <v>38</v>
      </c>
      <c r="K1080" s="5"/>
      <c r="L1080" s="0"/>
      <c r="U1080" s="0"/>
      <c r="V1080" s="0"/>
      <c r="W1080" s="0"/>
      <c r="X1080" s="0"/>
      <c r="Y1080" s="0"/>
    </row>
    <row r="1081" customFormat="false" ht="12.8" hidden="false" customHeight="false" outlineLevel="0" collapsed="false">
      <c r="G1081" s="25" t="n">
        <v>44940</v>
      </c>
      <c r="H1081" s="32" t="s">
        <v>15</v>
      </c>
      <c r="I1081" s="5" t="n">
        <v>369</v>
      </c>
      <c r="J1081" s="54" t="s">
        <v>38</v>
      </c>
      <c r="K1081" s="5"/>
      <c r="L1081" s="0"/>
      <c r="U1081" s="0"/>
      <c r="V1081" s="0"/>
      <c r="W1081" s="0"/>
      <c r="X1081" s="0"/>
      <c r="Y1081" s="0"/>
    </row>
    <row r="1082" customFormat="false" ht="12.8" hidden="false" customHeight="false" outlineLevel="0" collapsed="false">
      <c r="G1082" s="25" t="n">
        <v>44940</v>
      </c>
      <c r="H1082" s="32" t="s">
        <v>15</v>
      </c>
      <c r="I1082" s="5" t="n">
        <v>-385</v>
      </c>
      <c r="J1082" s="54" t="s">
        <v>110</v>
      </c>
      <c r="K1082" s="5"/>
      <c r="L1082" s="0"/>
      <c r="U1082" s="0"/>
      <c r="V1082" s="0"/>
      <c r="W1082" s="0"/>
      <c r="X1082" s="0"/>
      <c r="Y1082" s="0"/>
    </row>
    <row r="1083" customFormat="false" ht="12.8" hidden="false" customHeight="false" outlineLevel="0" collapsed="false">
      <c r="G1083" s="25" t="n">
        <v>44941</v>
      </c>
      <c r="H1083" s="43" t="s">
        <v>23</v>
      </c>
      <c r="I1083" s="5" t="n">
        <f aca="false">-87.35-9.88</f>
        <v>-97.23</v>
      </c>
      <c r="J1083" s="10" t="s">
        <v>37</v>
      </c>
      <c r="K1083" s="5"/>
      <c r="L1083" s="0"/>
      <c r="U1083" s="0"/>
      <c r="V1083" s="0"/>
      <c r="W1083" s="0"/>
      <c r="X1083" s="0"/>
      <c r="Y1083" s="0"/>
    </row>
    <row r="1084" customFormat="false" ht="12.8" hidden="false" customHeight="false" outlineLevel="0" collapsed="false">
      <c r="G1084" s="25" t="n">
        <v>44942</v>
      </c>
      <c r="H1084" s="43" t="s">
        <v>23</v>
      </c>
      <c r="I1084" s="5" t="n">
        <v>-72.23</v>
      </c>
      <c r="J1084" s="10" t="s">
        <v>37</v>
      </c>
      <c r="K1084" s="5"/>
      <c r="L1084" s="0"/>
      <c r="U1084" s="0"/>
      <c r="V1084" s="0"/>
      <c r="W1084" s="0"/>
      <c r="X1084" s="0"/>
      <c r="Y1084" s="0"/>
    </row>
    <row r="1085" customFormat="false" ht="12.8" hidden="false" customHeight="false" outlineLevel="0" collapsed="false">
      <c r="G1085" s="25" t="n">
        <v>44942</v>
      </c>
      <c r="H1085" s="48" t="s">
        <v>26</v>
      </c>
      <c r="I1085" s="5" t="n">
        <v>385</v>
      </c>
      <c r="J1085" s="0" t="s">
        <v>111</v>
      </c>
      <c r="K1085" s="5"/>
      <c r="L1085" s="0"/>
      <c r="U1085" s="0"/>
      <c r="V1085" s="0"/>
      <c r="W1085" s="0"/>
      <c r="X1085" s="0"/>
      <c r="Y1085" s="0"/>
    </row>
    <row r="1086" customFormat="false" ht="12.8" hidden="false" customHeight="false" outlineLevel="0" collapsed="false">
      <c r="G1086" s="25" t="n">
        <v>44942</v>
      </c>
      <c r="H1086" s="48" t="s">
        <v>26</v>
      </c>
      <c r="I1086" s="5" t="n">
        <v>-385</v>
      </c>
      <c r="J1086" s="0" t="s">
        <v>117</v>
      </c>
      <c r="K1086" s="5"/>
      <c r="L1086" s="0"/>
      <c r="U1086" s="0"/>
      <c r="V1086" s="0"/>
      <c r="W1086" s="0"/>
      <c r="X1086" s="0"/>
      <c r="Y1086" s="0"/>
    </row>
    <row r="1087" customFormat="false" ht="12.8" hidden="false" customHeight="false" outlineLevel="0" collapsed="false">
      <c r="G1087" s="25" t="n">
        <v>44942</v>
      </c>
      <c r="H1087" s="52" t="s">
        <v>14</v>
      </c>
      <c r="I1087" s="5" t="n">
        <v>385</v>
      </c>
      <c r="J1087" s="0" t="s">
        <v>117</v>
      </c>
      <c r="K1087" s="5"/>
      <c r="L1087" s="0"/>
      <c r="U1087" s="0"/>
      <c r="V1087" s="0"/>
      <c r="W1087" s="0"/>
      <c r="X1087" s="0"/>
      <c r="Y1087" s="0"/>
    </row>
    <row r="1088" customFormat="false" ht="12.8" hidden="false" customHeight="false" outlineLevel="0" collapsed="false">
      <c r="G1088" s="25" t="n">
        <v>44942</v>
      </c>
      <c r="H1088" s="52" t="s">
        <v>14</v>
      </c>
      <c r="I1088" s="5" t="n">
        <v>2.7</v>
      </c>
      <c r="J1088" s="0" t="s">
        <v>40</v>
      </c>
      <c r="K1088" s="5"/>
      <c r="L1088" s="0"/>
      <c r="U1088" s="0"/>
      <c r="V1088" s="0"/>
      <c r="W1088" s="0"/>
      <c r="X1088" s="0"/>
      <c r="Y1088" s="0"/>
    </row>
    <row r="1089" customFormat="false" ht="12.8" hidden="false" customHeight="false" outlineLevel="0" collapsed="false">
      <c r="G1089" s="25" t="n">
        <v>44943</v>
      </c>
      <c r="H1089" s="43" t="s">
        <v>23</v>
      </c>
      <c r="I1089" s="5" t="n">
        <v>-55.37</v>
      </c>
      <c r="J1089" s="10" t="s">
        <v>37</v>
      </c>
      <c r="K1089" s="0"/>
      <c r="L1089" s="0"/>
      <c r="U1089" s="0"/>
      <c r="V1089" s="0"/>
      <c r="W1089" s="0"/>
      <c r="X1089" s="0"/>
      <c r="Y1089" s="0"/>
    </row>
    <row r="1090" customFormat="false" ht="12.8" hidden="false" customHeight="false" outlineLevel="0" collapsed="false">
      <c r="G1090" s="25" t="n">
        <v>44944</v>
      </c>
      <c r="H1090" s="43" t="s">
        <v>23</v>
      </c>
      <c r="I1090" s="5" t="n">
        <v>-96</v>
      </c>
      <c r="J1090" s="0" t="s">
        <v>47</v>
      </c>
      <c r="K1090" s="0"/>
      <c r="L1090" s="0"/>
      <c r="U1090" s="0"/>
      <c r="V1090" s="0"/>
      <c r="W1090" s="0"/>
      <c r="X1090" s="0"/>
      <c r="Y1090" s="0"/>
    </row>
    <row r="1091" customFormat="false" ht="12.8" hidden="false" customHeight="false" outlineLevel="0" collapsed="false">
      <c r="G1091" s="25" t="n">
        <v>44944</v>
      </c>
      <c r="H1091" s="43" t="s">
        <v>23</v>
      </c>
      <c r="I1091" s="5" t="n">
        <v>-70.69</v>
      </c>
      <c r="J1091" s="0" t="s">
        <v>48</v>
      </c>
      <c r="K1091" s="0"/>
      <c r="L1091" s="0"/>
      <c r="U1091" s="0"/>
      <c r="V1091" s="0"/>
      <c r="W1091" s="0"/>
      <c r="X1091" s="0"/>
      <c r="Y1091" s="0"/>
    </row>
    <row r="1092" customFormat="false" ht="12.8" hidden="false" customHeight="false" outlineLevel="0" collapsed="false">
      <c r="G1092" s="25" t="n">
        <v>44945</v>
      </c>
      <c r="H1092" s="43" t="s">
        <v>23</v>
      </c>
      <c r="I1092" s="5" t="n">
        <v>-80.63</v>
      </c>
      <c r="J1092" s="10" t="s">
        <v>37</v>
      </c>
      <c r="K1092" s="0"/>
      <c r="U1092" s="0"/>
      <c r="V1092" s="0"/>
      <c r="W1092" s="0"/>
      <c r="X1092" s="0"/>
      <c r="Y1092" s="0"/>
    </row>
    <row r="1093" customFormat="false" ht="12.8" hidden="false" customHeight="false" outlineLevel="0" collapsed="false">
      <c r="G1093" s="25" t="n">
        <v>44946</v>
      </c>
      <c r="H1093" s="43" t="s">
        <v>23</v>
      </c>
      <c r="I1093" s="5" t="n">
        <v>-51.99</v>
      </c>
      <c r="J1093" s="10" t="s">
        <v>37</v>
      </c>
      <c r="K1093" s="0"/>
      <c r="U1093" s="0"/>
      <c r="V1093" s="0"/>
      <c r="W1093" s="0"/>
      <c r="X1093" s="0"/>
      <c r="Y1093" s="0"/>
    </row>
    <row r="1094" customFormat="false" ht="12.8" hidden="false" customHeight="false" outlineLevel="0" collapsed="false">
      <c r="G1094" s="25" t="n">
        <v>44947</v>
      </c>
      <c r="H1094" s="43" t="s">
        <v>23</v>
      </c>
      <c r="I1094" s="5" t="n">
        <v>-70.37</v>
      </c>
      <c r="J1094" s="10" t="s">
        <v>37</v>
      </c>
      <c r="K1094" s="0"/>
      <c r="U1094" s="0"/>
      <c r="V1094" s="0"/>
      <c r="W1094" s="0"/>
      <c r="X1094" s="0"/>
      <c r="Y1094" s="0"/>
    </row>
    <row r="1095" customFormat="false" ht="12.8" hidden="false" customHeight="false" outlineLevel="0" collapsed="false">
      <c r="G1095" s="25" t="n">
        <v>44947</v>
      </c>
      <c r="H1095" s="43" t="s">
        <v>23</v>
      </c>
      <c r="I1095" s="5" t="n">
        <v>-61</v>
      </c>
      <c r="J1095" s="10" t="s">
        <v>37</v>
      </c>
      <c r="K1095" s="0"/>
      <c r="L1095" s="0"/>
      <c r="U1095" s="0"/>
      <c r="V1095" s="0"/>
      <c r="W1095" s="0"/>
      <c r="X1095" s="0"/>
      <c r="Y1095" s="0"/>
    </row>
    <row r="1096" customFormat="false" ht="12.8" hidden="false" customHeight="false" outlineLevel="0" collapsed="false">
      <c r="G1096" s="25" t="n">
        <v>44947</v>
      </c>
      <c r="H1096" s="43" t="s">
        <v>23</v>
      </c>
      <c r="I1096" s="5" t="n">
        <v>-678.49</v>
      </c>
      <c r="J1096" s="0" t="s">
        <v>52</v>
      </c>
      <c r="K1096" s="0"/>
      <c r="L1096" s="0"/>
      <c r="U1096" s="0"/>
      <c r="V1096" s="0"/>
      <c r="W1096" s="0"/>
      <c r="X1096" s="0"/>
      <c r="Y1096" s="0"/>
    </row>
    <row r="1097" customFormat="false" ht="12.8" hidden="false" customHeight="false" outlineLevel="0" collapsed="false">
      <c r="G1097" s="25" t="n">
        <v>44948</v>
      </c>
      <c r="H1097" s="43" t="s">
        <v>23</v>
      </c>
      <c r="I1097" s="5" t="n">
        <v>-82.94</v>
      </c>
      <c r="J1097" s="10" t="s">
        <v>37</v>
      </c>
      <c r="K1097" s="0"/>
      <c r="L1097" s="0"/>
      <c r="U1097" s="0"/>
      <c r="V1097" s="0"/>
      <c r="W1097" s="0"/>
      <c r="X1097" s="0"/>
      <c r="Y1097" s="0"/>
    </row>
    <row r="1098" customFormat="false" ht="12.8" hidden="false" customHeight="false" outlineLevel="0" collapsed="false">
      <c r="G1098" s="25" t="n">
        <v>44948</v>
      </c>
      <c r="H1098" s="43" t="s">
        <v>23</v>
      </c>
      <c r="I1098" s="5" t="n">
        <v>-15</v>
      </c>
      <c r="J1098" s="0" t="s">
        <v>118</v>
      </c>
      <c r="K1098" s="0"/>
      <c r="L1098" s="0"/>
      <c r="U1098" s="0"/>
      <c r="V1098" s="0"/>
      <c r="W1098" s="0"/>
      <c r="X1098" s="0"/>
      <c r="Y1098" s="0"/>
    </row>
    <row r="1099" customFormat="false" ht="12.8" hidden="false" customHeight="false" outlineLevel="0" collapsed="false">
      <c r="G1099" s="25" t="n">
        <v>44948</v>
      </c>
      <c r="H1099" s="38" t="s">
        <v>21</v>
      </c>
      <c r="I1099" s="5" t="n">
        <v>15</v>
      </c>
      <c r="J1099" s="0" t="s">
        <v>118</v>
      </c>
      <c r="K1099" s="0"/>
      <c r="L1099" s="0"/>
      <c r="U1099" s="0"/>
      <c r="V1099" s="0"/>
      <c r="W1099" s="0"/>
      <c r="X1099" s="0"/>
      <c r="Y1099" s="0"/>
    </row>
    <row r="1100" customFormat="false" ht="12.8" hidden="false" customHeight="false" outlineLevel="0" collapsed="false">
      <c r="G1100" s="25" t="n">
        <v>44949</v>
      </c>
      <c r="H1100" s="43" t="s">
        <v>23</v>
      </c>
      <c r="I1100" s="5" t="n">
        <v>-68.14</v>
      </c>
      <c r="J1100" s="10" t="s">
        <v>37</v>
      </c>
      <c r="K1100" s="0"/>
      <c r="L1100" s="0"/>
      <c r="U1100" s="0"/>
      <c r="V1100" s="0"/>
      <c r="W1100" s="0"/>
      <c r="X1100" s="0"/>
      <c r="Y1100" s="0"/>
    </row>
    <row r="1101" customFormat="false" ht="12.8" hidden="false" customHeight="false" outlineLevel="0" collapsed="false">
      <c r="G1101" s="25" t="n">
        <v>44950</v>
      </c>
      <c r="H1101" s="43" t="s">
        <v>23</v>
      </c>
      <c r="I1101" s="5" t="n">
        <v>-70.37</v>
      </c>
      <c r="J1101" s="10" t="s">
        <v>37</v>
      </c>
      <c r="K1101" s="0"/>
      <c r="L1101" s="0"/>
      <c r="U1101" s="0"/>
      <c r="V1101" s="0"/>
      <c r="W1101" s="0"/>
      <c r="X1101" s="0"/>
      <c r="Y1101" s="0"/>
    </row>
    <row r="1102" customFormat="false" ht="12.8" hidden="false" customHeight="false" outlineLevel="0" collapsed="false">
      <c r="G1102" s="25" t="n">
        <v>44950</v>
      </c>
      <c r="H1102" s="26" t="s">
        <v>10</v>
      </c>
      <c r="I1102" s="5" t="n">
        <v>-150</v>
      </c>
      <c r="J1102" s="54" t="s">
        <v>54</v>
      </c>
      <c r="K1102" s="5"/>
      <c r="L1102" s="0"/>
      <c r="U1102" s="0"/>
      <c r="V1102" s="0"/>
      <c r="W1102" s="0"/>
      <c r="X1102" s="0"/>
      <c r="Y1102" s="0"/>
    </row>
    <row r="1103" customFormat="false" ht="12.8" hidden="false" customHeight="false" outlineLevel="0" collapsed="false">
      <c r="G1103" s="25" t="n">
        <v>44950</v>
      </c>
      <c r="H1103" s="32" t="s">
        <v>15</v>
      </c>
      <c r="I1103" s="5" t="n">
        <v>150</v>
      </c>
      <c r="J1103" s="54" t="s">
        <v>54</v>
      </c>
      <c r="K1103" s="5"/>
      <c r="L1103" s="0"/>
      <c r="U1103" s="0"/>
      <c r="V1103" s="0"/>
      <c r="W1103" s="0"/>
      <c r="X1103" s="0"/>
      <c r="Y1103" s="0"/>
    </row>
    <row r="1104" customFormat="false" ht="12.8" hidden="false" customHeight="false" outlineLevel="0" collapsed="false">
      <c r="G1104" s="25" t="n">
        <v>44951</v>
      </c>
      <c r="H1104" s="32" t="s">
        <v>15</v>
      </c>
      <c r="I1104" s="5" t="n">
        <v>-150</v>
      </c>
      <c r="J1104" s="54" t="s">
        <v>119</v>
      </c>
      <c r="K1104" s="5"/>
      <c r="L1104" s="0"/>
      <c r="U1104" s="0"/>
      <c r="V1104" s="0"/>
      <c r="W1104" s="0"/>
      <c r="X1104" s="0"/>
      <c r="Y1104" s="0"/>
    </row>
    <row r="1105" customFormat="false" ht="12.8" hidden="false" customHeight="false" outlineLevel="0" collapsed="false">
      <c r="G1105" s="25" t="n">
        <v>44951</v>
      </c>
      <c r="H1105" s="43" t="s">
        <v>23</v>
      </c>
      <c r="I1105" s="5" t="n">
        <v>-55.37</v>
      </c>
      <c r="J1105" s="10" t="s">
        <v>37</v>
      </c>
      <c r="K1105" s="0"/>
      <c r="L1105" s="0"/>
      <c r="U1105" s="0"/>
      <c r="V1105" s="0"/>
      <c r="W1105" s="0"/>
      <c r="X1105" s="0"/>
      <c r="Y1105" s="0"/>
    </row>
    <row r="1106" customFormat="false" ht="12.8" hidden="false" customHeight="false" outlineLevel="0" collapsed="false">
      <c r="G1106" s="25" t="n">
        <v>44952</v>
      </c>
      <c r="H1106" s="43" t="s">
        <v>23</v>
      </c>
      <c r="I1106" s="5" t="n">
        <v>-51.99</v>
      </c>
      <c r="J1106" s="10" t="s">
        <v>37</v>
      </c>
      <c r="K1106" s="0"/>
      <c r="L1106" s="0"/>
      <c r="U1106" s="0"/>
      <c r="V1106" s="0"/>
      <c r="W1106" s="0"/>
      <c r="X1106" s="0"/>
      <c r="Y1106" s="0"/>
    </row>
    <row r="1107" customFormat="false" ht="12.8" hidden="false" customHeight="false" outlineLevel="0" collapsed="false">
      <c r="G1107" s="25" t="n">
        <v>44953</v>
      </c>
      <c r="H1107" s="52" t="s">
        <v>14</v>
      </c>
      <c r="I1107" s="5" t="n">
        <v>-65</v>
      </c>
      <c r="J1107" s="10" t="s">
        <v>66</v>
      </c>
      <c r="K1107" s="0"/>
      <c r="L1107" s="0"/>
      <c r="U1107" s="0"/>
      <c r="V1107" s="0"/>
      <c r="W1107" s="0"/>
      <c r="X1107" s="0"/>
      <c r="Y1107" s="0"/>
    </row>
    <row r="1108" customFormat="false" ht="12.8" hidden="false" customHeight="false" outlineLevel="0" collapsed="false">
      <c r="G1108" s="25" t="n">
        <v>44953</v>
      </c>
      <c r="H1108" s="48" t="s">
        <v>26</v>
      </c>
      <c r="I1108" s="5" t="n">
        <v>65</v>
      </c>
      <c r="J1108" s="10" t="s">
        <v>66</v>
      </c>
      <c r="K1108" s="0"/>
      <c r="L1108" s="0"/>
      <c r="U1108" s="0"/>
      <c r="V1108" s="0"/>
      <c r="W1108" s="0"/>
      <c r="X1108" s="0"/>
      <c r="Y1108" s="0"/>
    </row>
    <row r="1109" customFormat="false" ht="12.8" hidden="false" customHeight="false" outlineLevel="0" collapsed="false">
      <c r="G1109" s="25" t="n">
        <v>44953</v>
      </c>
      <c r="H1109" s="52" t="s">
        <v>14</v>
      </c>
      <c r="I1109" s="5" t="n">
        <v>6.38</v>
      </c>
      <c r="J1109" s="10" t="s">
        <v>40</v>
      </c>
      <c r="K1109" s="0"/>
      <c r="L1109" s="0"/>
      <c r="U1109" s="0"/>
      <c r="V1109" s="0"/>
      <c r="W1109" s="0"/>
      <c r="X1109" s="0"/>
      <c r="Y1109" s="0"/>
    </row>
    <row r="1110" customFormat="false" ht="12.8" hidden="false" customHeight="false" outlineLevel="0" collapsed="false">
      <c r="G1110" s="25" t="n">
        <v>44953</v>
      </c>
      <c r="H1110" s="43" t="s">
        <v>23</v>
      </c>
      <c r="I1110" s="5" t="n">
        <f aca="false">-47.17-11.98</f>
        <v>-59.15</v>
      </c>
      <c r="J1110" s="10" t="s">
        <v>37</v>
      </c>
      <c r="K1110" s="0"/>
      <c r="L1110" s="0"/>
      <c r="U1110" s="0"/>
      <c r="V1110" s="0"/>
      <c r="W1110" s="0"/>
      <c r="X1110" s="0"/>
      <c r="Y1110" s="0"/>
    </row>
    <row r="1111" customFormat="false" ht="12.8" hidden="false" customHeight="false" outlineLevel="0" collapsed="false">
      <c r="G1111" s="25" t="n">
        <v>44954</v>
      </c>
      <c r="H1111" s="48" t="s">
        <v>26</v>
      </c>
      <c r="I1111" s="5" t="n">
        <v>-50</v>
      </c>
      <c r="J1111" s="0" t="s">
        <v>98</v>
      </c>
      <c r="K1111" s="0"/>
      <c r="L1111" s="0"/>
      <c r="U1111" s="0"/>
      <c r="V1111" s="0"/>
      <c r="W1111" s="0"/>
      <c r="X1111" s="0"/>
      <c r="Y1111" s="0"/>
    </row>
    <row r="1112" customFormat="false" ht="12.8" hidden="false" customHeight="false" outlineLevel="0" collapsed="false">
      <c r="G1112" s="25" t="n">
        <v>44954</v>
      </c>
      <c r="H1112" s="52" t="s">
        <v>14</v>
      </c>
      <c r="I1112" s="5" t="n">
        <v>50</v>
      </c>
      <c r="J1112" s="0" t="s">
        <v>98</v>
      </c>
      <c r="K1112" s="0"/>
      <c r="L1112" s="0"/>
      <c r="U1112" s="0"/>
      <c r="V1112" s="0"/>
      <c r="W1112" s="0"/>
      <c r="X1112" s="0"/>
      <c r="Y1112" s="0"/>
    </row>
    <row r="1113" customFormat="false" ht="12.8" hidden="false" customHeight="false" outlineLevel="0" collapsed="false">
      <c r="G1113" s="25" t="n">
        <v>44954</v>
      </c>
      <c r="H1113" s="52" t="s">
        <v>14</v>
      </c>
      <c r="I1113" s="5" t="n">
        <f aca="false">4766.21-4765.63</f>
        <v>0.579999999999927</v>
      </c>
      <c r="J1113" s="10" t="s">
        <v>40</v>
      </c>
      <c r="K1113" s="0"/>
      <c r="L1113" s="0"/>
      <c r="U1113" s="0"/>
      <c r="V1113" s="0"/>
      <c r="W1113" s="0"/>
      <c r="X1113" s="0"/>
      <c r="Y1113" s="0"/>
    </row>
    <row r="1114" customFormat="false" ht="12.8" hidden="false" customHeight="false" outlineLevel="0" collapsed="false">
      <c r="G1114" s="25" t="n">
        <v>44954</v>
      </c>
      <c r="H1114" s="43" t="s">
        <v>23</v>
      </c>
      <c r="I1114" s="5" t="n">
        <v>-55.37</v>
      </c>
      <c r="J1114" s="10" t="s">
        <v>37</v>
      </c>
      <c r="K1114" s="0"/>
      <c r="L1114" s="0"/>
      <c r="U1114" s="0"/>
      <c r="V1114" s="0"/>
      <c r="W1114" s="0"/>
      <c r="X1114" s="0"/>
      <c r="Y1114" s="0"/>
    </row>
    <row r="1115" customFormat="false" ht="12.8" hidden="false" customHeight="false" outlineLevel="0" collapsed="false">
      <c r="G1115" s="25" t="n">
        <v>44955</v>
      </c>
      <c r="H1115" s="43" t="s">
        <v>23</v>
      </c>
      <c r="I1115" s="5" t="n">
        <v>-66.88</v>
      </c>
      <c r="J1115" s="10" t="s">
        <v>37</v>
      </c>
      <c r="K1115" s="0"/>
      <c r="L1115" s="0"/>
      <c r="U1115" s="0"/>
      <c r="V1115" s="0"/>
      <c r="W1115" s="0"/>
      <c r="X1115" s="0"/>
      <c r="Y1115" s="0"/>
    </row>
    <row r="1116" customFormat="false" ht="12.8" hidden="false" customHeight="false" outlineLevel="0" collapsed="false">
      <c r="G1116" s="25" t="n">
        <v>44956</v>
      </c>
      <c r="H1116" s="43" t="s">
        <v>23</v>
      </c>
      <c r="I1116" s="5" t="n">
        <v>-47.98</v>
      </c>
      <c r="J1116" s="10" t="s">
        <v>37</v>
      </c>
      <c r="K1116" s="0"/>
      <c r="L1116" s="0"/>
      <c r="U1116" s="0"/>
      <c r="V1116" s="0"/>
      <c r="W1116" s="0"/>
      <c r="X1116" s="0"/>
      <c r="Y1116" s="0"/>
    </row>
    <row r="1117" customFormat="false" ht="12.8" hidden="false" customHeight="false" outlineLevel="0" collapsed="false">
      <c r="G1117" s="25" t="n">
        <v>44956</v>
      </c>
      <c r="H1117" s="43" t="s">
        <v>23</v>
      </c>
      <c r="I1117" s="5" t="n">
        <v>-30</v>
      </c>
      <c r="J1117" s="0" t="s">
        <v>46</v>
      </c>
      <c r="K1117" s="0"/>
      <c r="L1117" s="0"/>
      <c r="U1117" s="0"/>
      <c r="V1117" s="0"/>
      <c r="W1117" s="0"/>
      <c r="X1117" s="0"/>
      <c r="Y1117" s="0"/>
    </row>
    <row r="1118" customFormat="false" ht="12.8" hidden="false" customHeight="false" outlineLevel="0" collapsed="false">
      <c r="G1118" s="25" t="n">
        <v>44956</v>
      </c>
      <c r="H1118" s="43" t="s">
        <v>23</v>
      </c>
      <c r="I1118" s="5" t="n">
        <v>-23</v>
      </c>
      <c r="J1118" s="0" t="s">
        <v>37</v>
      </c>
      <c r="K1118" s="0"/>
      <c r="L1118" s="0"/>
      <c r="U1118" s="0"/>
      <c r="V1118" s="0"/>
      <c r="W1118" s="0"/>
      <c r="X1118" s="0"/>
      <c r="Y1118" s="0"/>
    </row>
    <row r="1119" customFormat="false" ht="12.8" hidden="false" customHeight="false" outlineLevel="0" collapsed="false">
      <c r="G1119" s="25" t="n">
        <v>44956</v>
      </c>
      <c r="H1119" s="26" t="s">
        <v>10</v>
      </c>
      <c r="I1119" s="5" t="n">
        <v>-200</v>
      </c>
      <c r="J1119" s="54" t="s">
        <v>38</v>
      </c>
      <c r="K1119" s="5"/>
      <c r="L1119" s="0"/>
      <c r="U1119" s="0"/>
      <c r="V1119" s="0"/>
      <c r="W1119" s="0"/>
      <c r="X1119" s="0"/>
      <c r="Y1119" s="0"/>
    </row>
    <row r="1120" customFormat="false" ht="12.8" hidden="false" customHeight="false" outlineLevel="0" collapsed="false">
      <c r="G1120" s="25" t="n">
        <v>44956</v>
      </c>
      <c r="H1120" s="32" t="s">
        <v>15</v>
      </c>
      <c r="I1120" s="5" t="n">
        <v>200</v>
      </c>
      <c r="J1120" s="54" t="s">
        <v>38</v>
      </c>
      <c r="K1120" s="5"/>
      <c r="L1120" s="0"/>
      <c r="U1120" s="0"/>
      <c r="V1120" s="0"/>
      <c r="W1120" s="0"/>
      <c r="X1120" s="0"/>
      <c r="Y1120" s="0"/>
    </row>
    <row r="1121" customFormat="false" ht="12.8" hidden="false" customHeight="false" outlineLevel="0" collapsed="false">
      <c r="G1121" s="25" t="n">
        <v>44956</v>
      </c>
      <c r="H1121" s="32" t="s">
        <v>15</v>
      </c>
      <c r="I1121" s="5" t="n">
        <v>-200</v>
      </c>
      <c r="J1121" s="54" t="s">
        <v>110</v>
      </c>
      <c r="K1121" s="5"/>
      <c r="L1121" s="0"/>
      <c r="U1121" s="0"/>
      <c r="V1121" s="0"/>
      <c r="W1121" s="0"/>
      <c r="X1121" s="0"/>
      <c r="Y1121" s="0"/>
    </row>
    <row r="1122" customFormat="false" ht="12.8" hidden="false" customHeight="false" outlineLevel="0" collapsed="false">
      <c r="G1122" s="25" t="n">
        <v>44956</v>
      </c>
      <c r="H1122" s="48" t="s">
        <v>26</v>
      </c>
      <c r="I1122" s="5" t="n">
        <v>200</v>
      </c>
      <c r="J1122" s="0" t="s">
        <v>111</v>
      </c>
      <c r="K1122" s="5"/>
      <c r="L1122" s="0"/>
      <c r="U1122" s="0"/>
      <c r="V1122" s="0"/>
      <c r="W1122" s="0"/>
      <c r="X1122" s="0"/>
      <c r="Y1122" s="0"/>
    </row>
    <row r="1123" customFormat="false" ht="12.8" hidden="false" customHeight="false" outlineLevel="0" collapsed="false">
      <c r="G1123" s="25" t="n">
        <v>44957</v>
      </c>
      <c r="H1123" s="43" t="s">
        <v>23</v>
      </c>
      <c r="I1123" s="5" t="n">
        <v>-5</v>
      </c>
      <c r="J1123" s="0" t="s">
        <v>82</v>
      </c>
      <c r="K1123" s="0"/>
      <c r="L1123" s="0"/>
      <c r="U1123" s="0"/>
      <c r="V1123" s="0"/>
      <c r="W1123" s="0"/>
      <c r="X1123" s="0"/>
      <c r="Y1123" s="0"/>
    </row>
    <row r="1124" customFormat="false" ht="12.8" hidden="false" customHeight="false" outlineLevel="0" collapsed="false">
      <c r="G1124" s="25" t="n">
        <v>44957</v>
      </c>
      <c r="H1124" s="43" t="s">
        <v>23</v>
      </c>
      <c r="I1124" s="5" t="n">
        <v>-61.74</v>
      </c>
      <c r="J1124" s="10" t="s">
        <v>37</v>
      </c>
      <c r="K1124" s="0"/>
      <c r="L1124" s="0"/>
      <c r="U1124" s="0"/>
      <c r="V1124" s="0"/>
      <c r="W1124" s="0"/>
      <c r="X1124" s="0"/>
      <c r="Y1124" s="0"/>
    </row>
    <row r="1125" customFormat="false" ht="12.8" hidden="false" customHeight="false" outlineLevel="0" collapsed="false">
      <c r="G1125" s="25" t="n">
        <v>44957</v>
      </c>
      <c r="H1125" s="43" t="s">
        <v>23</v>
      </c>
      <c r="I1125" s="5" t="n">
        <v>250</v>
      </c>
      <c r="J1125" s="10" t="s">
        <v>72</v>
      </c>
      <c r="K1125" s="0"/>
      <c r="L1125" s="0"/>
      <c r="U1125" s="0"/>
      <c r="V1125" s="0"/>
      <c r="W1125" s="0"/>
      <c r="X1125" s="0"/>
      <c r="Y1125" s="0"/>
    </row>
    <row r="1126" customFormat="false" ht="12.8" hidden="false" customHeight="false" outlineLevel="0" collapsed="false">
      <c r="G1126" s="25" t="n">
        <v>44957</v>
      </c>
      <c r="H1126" s="43" t="s">
        <v>23</v>
      </c>
      <c r="I1126" s="5" t="n">
        <v>-5</v>
      </c>
      <c r="J1126" s="10" t="s">
        <v>43</v>
      </c>
      <c r="K1126" s="0"/>
      <c r="L1126" s="0"/>
      <c r="U1126" s="0"/>
      <c r="V1126" s="0"/>
      <c r="W1126" s="0"/>
      <c r="X1126" s="0"/>
      <c r="Y1126" s="0"/>
    </row>
    <row r="1127" customFormat="false" ht="12.8" hidden="false" customHeight="false" outlineLevel="0" collapsed="false">
      <c r="G1127" s="25" t="n">
        <v>44957</v>
      </c>
      <c r="H1127" s="26" t="s">
        <v>10</v>
      </c>
      <c r="I1127" s="5" t="n">
        <v>1.86</v>
      </c>
      <c r="J1127" s="0" t="s">
        <v>40</v>
      </c>
      <c r="K1127" s="0"/>
      <c r="L1127" s="0"/>
      <c r="U1127" s="0"/>
      <c r="V1127" s="0"/>
      <c r="W1127" s="0"/>
      <c r="X1127" s="0"/>
      <c r="Y1127" s="0"/>
    </row>
    <row r="1128" customFormat="false" ht="12.8" hidden="false" customHeight="false" outlineLevel="0" collapsed="false">
      <c r="G1128" s="25" t="n">
        <v>44957</v>
      </c>
      <c r="H1128" s="52" t="s">
        <v>14</v>
      </c>
      <c r="I1128" s="5" t="n">
        <v>2.32</v>
      </c>
      <c r="J1128" s="0" t="s">
        <v>40</v>
      </c>
      <c r="K1128" s="0"/>
      <c r="L1128" s="0"/>
      <c r="U1128" s="0"/>
      <c r="V1128" s="0"/>
      <c r="W1128" s="0"/>
      <c r="X1128" s="0"/>
      <c r="Y1128" s="0"/>
    </row>
    <row r="1129" customFormat="false" ht="12.8" hidden="false" customHeight="false" outlineLevel="0" collapsed="false">
      <c r="G1129" s="25" t="n">
        <v>44957</v>
      </c>
      <c r="H1129" s="48" t="s">
        <v>26</v>
      </c>
      <c r="I1129" s="5" t="n">
        <v>-15</v>
      </c>
      <c r="J1129" s="10" t="s">
        <v>82</v>
      </c>
      <c r="K1129" s="0"/>
      <c r="L1129" s="0"/>
      <c r="U1129" s="0"/>
      <c r="V1129" s="0"/>
      <c r="W1129" s="0"/>
      <c r="X1129" s="0"/>
      <c r="Y1129" s="0"/>
    </row>
    <row r="1130" customFormat="false" ht="12.8" hidden="false" customHeight="false" outlineLevel="0" collapsed="false">
      <c r="G1130" s="25" t="n">
        <v>44958</v>
      </c>
      <c r="H1130" s="52" t="s">
        <v>14</v>
      </c>
      <c r="I1130" s="5" t="n">
        <f aca="false">-1788-15</f>
        <v>-1803</v>
      </c>
      <c r="J1130" s="10" t="s">
        <v>66</v>
      </c>
      <c r="K1130" s="0"/>
      <c r="L1130" s="0"/>
      <c r="U1130" s="0"/>
      <c r="V1130" s="0"/>
      <c r="W1130" s="0"/>
      <c r="X1130" s="0"/>
      <c r="Y1130" s="0"/>
    </row>
    <row r="1131" customFormat="false" ht="12.8" hidden="false" customHeight="false" outlineLevel="0" collapsed="false">
      <c r="G1131" s="25" t="n">
        <v>44958</v>
      </c>
      <c r="H1131" s="48" t="s">
        <v>26</v>
      </c>
      <c r="I1131" s="5" t="n">
        <f aca="false">1788+15</f>
        <v>1803</v>
      </c>
      <c r="J1131" s="10" t="s">
        <v>66</v>
      </c>
      <c r="K1131" s="0"/>
      <c r="L1131" s="0"/>
      <c r="U1131" s="0"/>
      <c r="V1131" s="0"/>
      <c r="W1131" s="0"/>
      <c r="X1131" s="0"/>
      <c r="Y1131" s="0"/>
    </row>
    <row r="1132" customFormat="false" ht="12.8" hidden="false" customHeight="false" outlineLevel="0" collapsed="false">
      <c r="G1132" s="25" t="n">
        <v>44958</v>
      </c>
      <c r="H1132" s="48" t="s">
        <v>26</v>
      </c>
      <c r="I1132" s="5" t="n">
        <v>-2000</v>
      </c>
      <c r="J1132" s="55" t="s">
        <v>68</v>
      </c>
      <c r="K1132" s="0"/>
      <c r="L1132" s="0"/>
      <c r="U1132" s="0"/>
      <c r="V1132" s="0"/>
      <c r="W1132" s="0"/>
      <c r="X1132" s="0"/>
      <c r="Y1132" s="0"/>
    </row>
    <row r="1133" customFormat="false" ht="12.8" hidden="false" customHeight="false" outlineLevel="0" collapsed="false">
      <c r="G1133" s="25" t="n">
        <v>44958</v>
      </c>
      <c r="H1133" s="48" t="s">
        <v>26</v>
      </c>
      <c r="I1133" s="5" t="n">
        <v>-3</v>
      </c>
      <c r="J1133" s="55" t="s">
        <v>92</v>
      </c>
      <c r="K1133" s="5"/>
      <c r="L1133" s="0"/>
      <c r="U1133" s="0"/>
      <c r="V1133" s="0"/>
      <c r="W1133" s="0"/>
      <c r="X1133" s="0"/>
      <c r="Y1133" s="0"/>
    </row>
    <row r="1134" customFormat="false" ht="12.8" hidden="false" customHeight="false" outlineLevel="0" collapsed="false">
      <c r="G1134" s="25" t="n">
        <v>44958</v>
      </c>
      <c r="H1134" s="43" t="s">
        <v>23</v>
      </c>
      <c r="I1134" s="5" t="n">
        <v>-54.37</v>
      </c>
      <c r="J1134" s="10" t="s">
        <v>37</v>
      </c>
      <c r="K1134" s="0"/>
      <c r="L1134" s="0"/>
      <c r="U1134" s="0"/>
      <c r="V1134" s="0"/>
      <c r="W1134" s="0"/>
      <c r="X1134" s="0"/>
      <c r="Y1134" s="0"/>
    </row>
    <row r="1135" customFormat="false" ht="12.8" hidden="false" customHeight="false" outlineLevel="0" collapsed="false">
      <c r="G1135" s="25" t="n">
        <v>44958</v>
      </c>
      <c r="H1135" s="32" t="s">
        <v>15</v>
      </c>
      <c r="I1135" s="5" t="n">
        <v>2000</v>
      </c>
      <c r="J1135" s="55" t="s">
        <v>38</v>
      </c>
      <c r="K1135" s="0"/>
      <c r="L1135" s="0"/>
      <c r="U1135" s="0"/>
      <c r="V1135" s="0"/>
      <c r="W1135" s="0"/>
      <c r="X1135" s="0"/>
      <c r="Y1135" s="0"/>
    </row>
    <row r="1136" customFormat="false" ht="12.8" hidden="false" customHeight="false" outlineLevel="0" collapsed="false">
      <c r="G1136" s="25" t="n">
        <v>44958</v>
      </c>
      <c r="H1136" s="32" t="s">
        <v>15</v>
      </c>
      <c r="I1136" s="5" t="n">
        <v>-2000.14</v>
      </c>
      <c r="J1136" s="55" t="s">
        <v>104</v>
      </c>
      <c r="K1136" s="0"/>
      <c r="L1136" s="0"/>
      <c r="U1136" s="0"/>
      <c r="V1136" s="0"/>
      <c r="W1136" s="0"/>
      <c r="X1136" s="0"/>
      <c r="Y1136" s="0"/>
    </row>
    <row r="1137" customFormat="false" ht="12.8" hidden="false" customHeight="false" outlineLevel="0" collapsed="false">
      <c r="G1137" s="25" t="n">
        <v>44958</v>
      </c>
      <c r="H1137" s="26" t="s">
        <v>10</v>
      </c>
      <c r="I1137" s="5" t="n">
        <v>2000.14</v>
      </c>
      <c r="J1137" s="55" t="s">
        <v>104</v>
      </c>
      <c r="K1137" s="0"/>
      <c r="L1137" s="0"/>
      <c r="U1137" s="0"/>
      <c r="V1137" s="0"/>
      <c r="W1137" s="0"/>
      <c r="X1137" s="0"/>
      <c r="Y1137" s="0"/>
    </row>
    <row r="1138" customFormat="false" ht="12.8" hidden="false" customHeight="false" outlineLevel="0" collapsed="false">
      <c r="G1138" s="25" t="n">
        <v>44959</v>
      </c>
      <c r="H1138" s="43" t="s">
        <v>23</v>
      </c>
      <c r="I1138" s="5" t="n">
        <v>-66.37</v>
      </c>
      <c r="J1138" s="10" t="s">
        <v>37</v>
      </c>
      <c r="K1138" s="0"/>
      <c r="L1138" s="0"/>
      <c r="U1138" s="0"/>
      <c r="V1138" s="0"/>
      <c r="W1138" s="0"/>
      <c r="X1138" s="0"/>
      <c r="Y1138" s="0"/>
    </row>
    <row r="1139" customFormat="false" ht="12.8" hidden="false" customHeight="false" outlineLevel="0" collapsed="false">
      <c r="G1139" s="25" t="n">
        <v>44959</v>
      </c>
      <c r="H1139" s="38" t="s">
        <v>21</v>
      </c>
      <c r="I1139" s="5" t="n">
        <v>-15</v>
      </c>
      <c r="J1139" s="0" t="s">
        <v>118</v>
      </c>
      <c r="K1139" s="0"/>
      <c r="L1139" s="0"/>
      <c r="U1139" s="0"/>
      <c r="V1139" s="0"/>
      <c r="W1139" s="0"/>
      <c r="X1139" s="0"/>
      <c r="Y1139" s="0"/>
    </row>
    <row r="1140" customFormat="false" ht="12.8" hidden="false" customHeight="false" outlineLevel="0" collapsed="false">
      <c r="G1140" s="25" t="n">
        <v>44960</v>
      </c>
      <c r="H1140" s="43" t="s">
        <v>23</v>
      </c>
      <c r="I1140" s="5" t="n">
        <v>-49.36</v>
      </c>
      <c r="J1140" s="10" t="s">
        <v>37</v>
      </c>
      <c r="K1140" s="0"/>
      <c r="L1140" s="0"/>
      <c r="U1140" s="0"/>
      <c r="V1140" s="0"/>
      <c r="W1140" s="0"/>
      <c r="X1140" s="0"/>
      <c r="Y1140" s="0"/>
    </row>
    <row r="1141" customFormat="false" ht="12.8" hidden="false" customHeight="false" outlineLevel="0" collapsed="false">
      <c r="G1141" s="25" t="n">
        <v>44960</v>
      </c>
      <c r="H1141" s="43" t="s">
        <v>23</v>
      </c>
      <c r="I1141" s="5" t="n">
        <v>-27.66</v>
      </c>
      <c r="J1141" s="10" t="s">
        <v>37</v>
      </c>
      <c r="K1141" s="0"/>
      <c r="L1141" s="0"/>
      <c r="U1141" s="0"/>
      <c r="V1141" s="0"/>
      <c r="W1141" s="0"/>
      <c r="X1141" s="0"/>
      <c r="Y1141" s="0"/>
    </row>
    <row r="1142" customFormat="false" ht="12.8" hidden="false" customHeight="false" outlineLevel="0" collapsed="false">
      <c r="G1142" s="25" t="n">
        <v>44960</v>
      </c>
      <c r="H1142" s="26" t="s">
        <v>10</v>
      </c>
      <c r="I1142" s="5" t="n">
        <v>-1152</v>
      </c>
      <c r="J1142" s="54" t="s">
        <v>38</v>
      </c>
      <c r="K1142" s="0"/>
      <c r="L1142" s="0"/>
      <c r="U1142" s="0"/>
      <c r="V1142" s="0"/>
      <c r="W1142" s="0"/>
      <c r="X1142" s="0"/>
      <c r="Y1142" s="0"/>
    </row>
    <row r="1143" customFormat="false" ht="12.8" hidden="false" customHeight="false" outlineLevel="0" collapsed="false">
      <c r="G1143" s="25" t="n">
        <v>44960</v>
      </c>
      <c r="H1143" s="32" t="s">
        <v>15</v>
      </c>
      <c r="I1143" s="5" t="n">
        <v>1152</v>
      </c>
      <c r="J1143" s="54" t="s">
        <v>38</v>
      </c>
      <c r="K1143" s="0"/>
      <c r="L1143" s="0"/>
      <c r="U1143" s="0"/>
      <c r="V1143" s="0"/>
      <c r="W1143" s="0"/>
      <c r="X1143" s="0"/>
      <c r="Y1143" s="0"/>
    </row>
    <row r="1144" customFormat="false" ht="12.8" hidden="false" customHeight="false" outlineLevel="0" collapsed="false">
      <c r="G1144" s="25" t="n">
        <v>44960</v>
      </c>
      <c r="H1144" s="32" t="s">
        <v>15</v>
      </c>
      <c r="I1144" s="5" t="n">
        <v>-1152</v>
      </c>
      <c r="J1144" s="54" t="s">
        <v>120</v>
      </c>
      <c r="K1144" s="0"/>
      <c r="L1144" s="0"/>
      <c r="U1144" s="0"/>
      <c r="V1144" s="0"/>
      <c r="W1144" s="0"/>
      <c r="X1144" s="0"/>
      <c r="Y1144" s="0"/>
    </row>
    <row r="1145" customFormat="false" ht="12.8" hidden="false" customHeight="false" outlineLevel="0" collapsed="false">
      <c r="G1145" s="25" t="n">
        <v>44960</v>
      </c>
      <c r="H1145" s="48" t="s">
        <v>26</v>
      </c>
      <c r="I1145" s="5" t="n">
        <v>1152</v>
      </c>
      <c r="J1145" s="0" t="s">
        <v>121</v>
      </c>
      <c r="K1145" s="0"/>
      <c r="L1145" s="0"/>
      <c r="U1145" s="0"/>
      <c r="V1145" s="0"/>
      <c r="W1145" s="0"/>
      <c r="X1145" s="0"/>
      <c r="Y1145" s="0"/>
    </row>
    <row r="1146" customFormat="false" ht="12.8" hidden="false" customHeight="false" outlineLevel="0" collapsed="false">
      <c r="G1146" s="25" t="n">
        <v>44960</v>
      </c>
      <c r="H1146" s="52" t="s">
        <v>14</v>
      </c>
      <c r="I1146" s="5" t="n">
        <v>0.74</v>
      </c>
      <c r="J1146" s="0" t="s">
        <v>40</v>
      </c>
      <c r="K1146" s="0"/>
      <c r="L1146" s="0"/>
      <c r="U1146" s="0"/>
      <c r="V1146" s="0"/>
      <c r="W1146" s="0"/>
      <c r="X1146" s="0"/>
      <c r="Y1146" s="0"/>
    </row>
    <row r="1147" customFormat="false" ht="12.8" hidden="false" customHeight="false" outlineLevel="0" collapsed="false">
      <c r="G1147" s="25" t="n">
        <v>44960</v>
      </c>
      <c r="H1147" s="48" t="s">
        <v>26</v>
      </c>
      <c r="I1147" s="5" t="n">
        <v>-1152</v>
      </c>
      <c r="J1147" s="0" t="s">
        <v>122</v>
      </c>
      <c r="K1147" s="0"/>
      <c r="L1147" s="0"/>
      <c r="U1147" s="0"/>
      <c r="V1147" s="0"/>
      <c r="W1147" s="0"/>
      <c r="X1147" s="0"/>
      <c r="Y1147" s="0"/>
    </row>
    <row r="1148" customFormat="false" ht="12.8" hidden="false" customHeight="false" outlineLevel="0" collapsed="false">
      <c r="G1148" s="25" t="n">
        <v>44960</v>
      </c>
      <c r="H1148" s="52" t="s">
        <v>14</v>
      </c>
      <c r="I1148" s="5" t="n">
        <v>1152</v>
      </c>
      <c r="J1148" s="0" t="s">
        <v>122</v>
      </c>
      <c r="K1148" s="0"/>
      <c r="L1148" s="0"/>
      <c r="U1148" s="0"/>
      <c r="V1148" s="0"/>
      <c r="W1148" s="0"/>
      <c r="X1148" s="0"/>
      <c r="Y1148" s="0"/>
    </row>
    <row r="1149" customFormat="false" ht="12.8" hidden="false" customHeight="false" outlineLevel="0" collapsed="false">
      <c r="G1149" s="25" t="n">
        <v>44961</v>
      </c>
      <c r="H1149" s="43" t="s">
        <v>23</v>
      </c>
      <c r="I1149" s="5" t="n">
        <v>-64.05</v>
      </c>
      <c r="J1149" s="10" t="s">
        <v>37</v>
      </c>
      <c r="K1149" s="0"/>
      <c r="L1149" s="0"/>
      <c r="U1149" s="0"/>
      <c r="V1149" s="0"/>
      <c r="W1149" s="0"/>
      <c r="X1149" s="0"/>
      <c r="Y1149" s="0"/>
    </row>
    <row r="1150" customFormat="false" ht="12.8" hidden="false" customHeight="false" outlineLevel="0" collapsed="false">
      <c r="G1150" s="25" t="n">
        <v>44962</v>
      </c>
      <c r="H1150" s="43" t="s">
        <v>23</v>
      </c>
      <c r="I1150" s="5" t="n">
        <v>-46.37</v>
      </c>
      <c r="J1150" s="10" t="s">
        <v>37</v>
      </c>
      <c r="K1150" s="0"/>
      <c r="L1150" s="0"/>
      <c r="U1150" s="0"/>
      <c r="V1150" s="0"/>
      <c r="W1150" s="0"/>
      <c r="X1150" s="0"/>
      <c r="Y1150" s="0"/>
    </row>
    <row r="1151" customFormat="false" ht="12.8" hidden="false" customHeight="false" outlineLevel="0" collapsed="false">
      <c r="G1151" s="25" t="n">
        <v>44963</v>
      </c>
      <c r="H1151" s="43" t="s">
        <v>23</v>
      </c>
      <c r="I1151" s="5" t="n">
        <v>-55.98</v>
      </c>
      <c r="J1151" s="10" t="s">
        <v>37</v>
      </c>
      <c r="K1151" s="0"/>
      <c r="L1151" s="0"/>
      <c r="U1151" s="0"/>
      <c r="V1151" s="0"/>
      <c r="W1151" s="0"/>
      <c r="X1151" s="0"/>
      <c r="Y1151" s="0"/>
    </row>
    <row r="1152" customFormat="false" ht="12.8" hidden="false" customHeight="false" outlineLevel="0" collapsed="false">
      <c r="G1152" s="25" t="n">
        <v>44964</v>
      </c>
      <c r="H1152" s="43" t="s">
        <v>23</v>
      </c>
      <c r="I1152" s="5" t="n">
        <v>-55.37</v>
      </c>
      <c r="J1152" s="10" t="s">
        <v>37</v>
      </c>
      <c r="K1152" s="0"/>
      <c r="L1152" s="0"/>
      <c r="U1152" s="0"/>
      <c r="V1152" s="0"/>
      <c r="W1152" s="0"/>
      <c r="X1152" s="0"/>
      <c r="Y1152" s="0"/>
    </row>
    <row r="1153" customFormat="false" ht="12.8" hidden="false" customHeight="false" outlineLevel="0" collapsed="false">
      <c r="G1153" s="25" t="n">
        <v>44965</v>
      </c>
      <c r="H1153" s="43" t="s">
        <v>23</v>
      </c>
      <c r="I1153" s="5" t="n">
        <v>-62</v>
      </c>
      <c r="J1153" s="10" t="s">
        <v>37</v>
      </c>
      <c r="K1153" s="0"/>
      <c r="L1153" s="0"/>
      <c r="U1153" s="0"/>
      <c r="V1153" s="0"/>
      <c r="W1153" s="0"/>
      <c r="X1153" s="0"/>
      <c r="Y1153" s="0"/>
    </row>
    <row r="1154" customFormat="false" ht="12.8" hidden="false" customHeight="false" outlineLevel="0" collapsed="false">
      <c r="G1154" s="25" t="n">
        <v>44966</v>
      </c>
      <c r="H1154" s="26" t="s">
        <v>10</v>
      </c>
      <c r="I1154" s="5" t="n">
        <v>-65</v>
      </c>
      <c r="J1154" s="54" t="s">
        <v>38</v>
      </c>
      <c r="K1154" s="0"/>
      <c r="L1154" s="0"/>
      <c r="U1154" s="0"/>
      <c r="V1154" s="0"/>
      <c r="W1154" s="0"/>
      <c r="X1154" s="0"/>
      <c r="Y1154" s="0"/>
    </row>
    <row r="1155" customFormat="false" ht="12.8" hidden="false" customHeight="false" outlineLevel="0" collapsed="false">
      <c r="G1155" s="25" t="n">
        <v>44966</v>
      </c>
      <c r="H1155" s="32" t="s">
        <v>15</v>
      </c>
      <c r="I1155" s="5" t="n">
        <v>65</v>
      </c>
      <c r="J1155" s="54" t="s">
        <v>38</v>
      </c>
      <c r="K1155" s="0"/>
      <c r="L1155" s="0"/>
      <c r="U1155" s="0"/>
      <c r="V1155" s="0"/>
      <c r="W1155" s="0"/>
      <c r="X1155" s="0"/>
      <c r="Y1155" s="0"/>
    </row>
    <row r="1156" customFormat="false" ht="12.8" hidden="false" customHeight="false" outlineLevel="0" collapsed="false">
      <c r="G1156" s="25" t="n">
        <v>44966</v>
      </c>
      <c r="H1156" s="32" t="s">
        <v>15</v>
      </c>
      <c r="I1156" s="5" t="n">
        <v>-62.35</v>
      </c>
      <c r="J1156" s="54" t="s">
        <v>37</v>
      </c>
      <c r="K1156" s="0"/>
      <c r="L1156" s="0"/>
      <c r="U1156" s="0"/>
      <c r="V1156" s="0"/>
      <c r="W1156" s="0"/>
      <c r="X1156" s="0"/>
      <c r="Y1156" s="0"/>
    </row>
    <row r="1157" customFormat="false" ht="12.8" hidden="false" customHeight="false" outlineLevel="0" collapsed="false">
      <c r="G1157" s="25" t="n">
        <v>44967</v>
      </c>
      <c r="H1157" s="26" t="s">
        <v>10</v>
      </c>
      <c r="I1157" s="5" t="n">
        <v>-63</v>
      </c>
      <c r="J1157" s="54" t="s">
        <v>38</v>
      </c>
      <c r="K1157" s="0"/>
      <c r="L1157" s="0"/>
      <c r="U1157" s="0"/>
      <c r="V1157" s="0"/>
      <c r="W1157" s="0"/>
      <c r="X1157" s="0"/>
      <c r="Y1157" s="0"/>
    </row>
    <row r="1158" customFormat="false" ht="12.8" hidden="false" customHeight="false" outlineLevel="0" collapsed="false">
      <c r="G1158" s="25" t="n">
        <v>44967</v>
      </c>
      <c r="H1158" s="32" t="s">
        <v>15</v>
      </c>
      <c r="I1158" s="5" t="n">
        <v>63</v>
      </c>
      <c r="J1158" s="54" t="s">
        <v>38</v>
      </c>
      <c r="K1158" s="0"/>
      <c r="L1158" s="0"/>
      <c r="U1158" s="0"/>
      <c r="V1158" s="0"/>
      <c r="W1158" s="0"/>
      <c r="X1158" s="0"/>
      <c r="Y1158" s="0"/>
    </row>
    <row r="1159" customFormat="false" ht="12.8" hidden="false" customHeight="false" outlineLevel="0" collapsed="false">
      <c r="G1159" s="25" t="n">
        <v>44967</v>
      </c>
      <c r="H1159" s="32" t="s">
        <v>15</v>
      </c>
      <c r="I1159" s="5" t="n">
        <v>-51.37</v>
      </c>
      <c r="J1159" s="54" t="s">
        <v>37</v>
      </c>
      <c r="K1159" s="0"/>
      <c r="L1159" s="0"/>
      <c r="U1159" s="0"/>
      <c r="V1159" s="0"/>
      <c r="W1159" s="0"/>
      <c r="X1159" s="0"/>
      <c r="Y1159" s="0"/>
    </row>
    <row r="1160" customFormat="false" ht="12.8" hidden="false" customHeight="false" outlineLevel="0" collapsed="false">
      <c r="G1160" s="25" t="n">
        <v>44968</v>
      </c>
      <c r="H1160" s="26" t="s">
        <v>10</v>
      </c>
      <c r="I1160" s="5" t="n">
        <v>-51</v>
      </c>
      <c r="J1160" s="54" t="s">
        <v>38</v>
      </c>
      <c r="K1160" s="0"/>
      <c r="L1160" s="0"/>
      <c r="U1160" s="0"/>
      <c r="V1160" s="0"/>
      <c r="W1160" s="0"/>
      <c r="X1160" s="0"/>
      <c r="Y1160" s="0"/>
    </row>
    <row r="1161" customFormat="false" ht="12.8" hidden="false" customHeight="false" outlineLevel="0" collapsed="false">
      <c r="G1161" s="25" t="n">
        <v>44968</v>
      </c>
      <c r="H1161" s="32" t="s">
        <v>15</v>
      </c>
      <c r="I1161" s="5" t="n">
        <v>51</v>
      </c>
      <c r="J1161" s="54" t="s">
        <v>38</v>
      </c>
      <c r="K1161" s="0"/>
      <c r="L1161" s="0"/>
      <c r="U1161" s="0"/>
      <c r="V1161" s="0"/>
      <c r="W1161" s="0"/>
      <c r="X1161" s="0"/>
      <c r="Y1161" s="0"/>
    </row>
    <row r="1162" customFormat="false" ht="12.8" hidden="false" customHeight="false" outlineLevel="0" collapsed="false">
      <c r="G1162" s="25" t="n">
        <v>44968</v>
      </c>
      <c r="H1162" s="32" t="s">
        <v>15</v>
      </c>
      <c r="I1162" s="5" t="n">
        <v>-62.69</v>
      </c>
      <c r="J1162" s="54" t="s">
        <v>37</v>
      </c>
      <c r="K1162" s="0"/>
      <c r="L1162" s="0"/>
      <c r="U1162" s="0"/>
      <c r="V1162" s="0"/>
      <c r="W1162" s="0"/>
      <c r="X1162" s="0"/>
      <c r="Y1162" s="0"/>
    </row>
    <row r="1163" customFormat="false" ht="12.8" hidden="false" customHeight="false" outlineLevel="0" collapsed="false">
      <c r="G1163" s="25" t="n">
        <v>44968</v>
      </c>
      <c r="H1163" s="26" t="s">
        <v>10</v>
      </c>
      <c r="I1163" s="5" t="n">
        <v>-48</v>
      </c>
      <c r="J1163" s="54" t="s">
        <v>38</v>
      </c>
      <c r="K1163" s="0"/>
      <c r="L1163" s="0"/>
      <c r="U1163" s="0"/>
      <c r="V1163" s="0"/>
      <c r="W1163" s="0"/>
      <c r="X1163" s="0"/>
      <c r="Y1163" s="0"/>
    </row>
    <row r="1164" customFormat="false" ht="12.8" hidden="false" customHeight="false" outlineLevel="0" collapsed="false">
      <c r="G1164" s="25" t="n">
        <v>44968</v>
      </c>
      <c r="H1164" s="32" t="s">
        <v>15</v>
      </c>
      <c r="I1164" s="5" t="n">
        <v>48</v>
      </c>
      <c r="J1164" s="54" t="s">
        <v>38</v>
      </c>
      <c r="K1164" s="0"/>
      <c r="L1164" s="0"/>
      <c r="U1164" s="0"/>
      <c r="V1164" s="0"/>
      <c r="W1164" s="0"/>
      <c r="X1164" s="0"/>
      <c r="Y1164" s="0"/>
    </row>
    <row r="1165" customFormat="false" ht="12.8" hidden="false" customHeight="false" outlineLevel="0" collapsed="false">
      <c r="G1165" s="25" t="n">
        <v>44968</v>
      </c>
      <c r="H1165" s="32" t="s">
        <v>15</v>
      </c>
      <c r="I1165" s="5" t="n">
        <v>-49.08</v>
      </c>
      <c r="J1165" s="54" t="s">
        <v>46</v>
      </c>
      <c r="K1165" s="0"/>
      <c r="L1165" s="0"/>
      <c r="U1165" s="0"/>
      <c r="V1165" s="0"/>
      <c r="W1165" s="0"/>
      <c r="X1165" s="0"/>
      <c r="Y1165" s="0"/>
    </row>
    <row r="1166" customFormat="false" ht="12.8" hidden="false" customHeight="false" outlineLevel="0" collapsed="false">
      <c r="G1166" s="25" t="n">
        <v>44969</v>
      </c>
      <c r="H1166" s="26" t="s">
        <v>10</v>
      </c>
      <c r="I1166" s="5" t="n">
        <v>-64</v>
      </c>
      <c r="J1166" s="54" t="s">
        <v>38</v>
      </c>
      <c r="K1166" s="0"/>
      <c r="L1166" s="0"/>
      <c r="U1166" s="0"/>
      <c r="V1166" s="0"/>
      <c r="W1166" s="0"/>
      <c r="X1166" s="0"/>
      <c r="Y1166" s="0"/>
    </row>
    <row r="1167" customFormat="false" ht="12.8" hidden="false" customHeight="false" outlineLevel="0" collapsed="false">
      <c r="G1167" s="25" t="n">
        <v>44969</v>
      </c>
      <c r="H1167" s="32" t="s">
        <v>15</v>
      </c>
      <c r="I1167" s="5" t="n">
        <v>64</v>
      </c>
      <c r="J1167" s="54" t="s">
        <v>38</v>
      </c>
      <c r="K1167" s="0"/>
      <c r="L1167" s="0"/>
      <c r="U1167" s="0"/>
      <c r="V1167" s="0"/>
      <c r="W1167" s="0"/>
      <c r="X1167" s="0"/>
      <c r="Y1167" s="0"/>
    </row>
    <row r="1168" customFormat="false" ht="12.8" hidden="false" customHeight="false" outlineLevel="0" collapsed="false">
      <c r="G1168" s="25" t="n">
        <v>44969</v>
      </c>
      <c r="H1168" s="32" t="s">
        <v>15</v>
      </c>
      <c r="I1168" s="5" t="n">
        <v>-65.19</v>
      </c>
      <c r="J1168" s="54" t="s">
        <v>37</v>
      </c>
      <c r="K1168" s="0"/>
      <c r="L1168" s="0"/>
      <c r="U1168" s="0"/>
      <c r="V1168" s="0"/>
      <c r="W1168" s="0"/>
      <c r="X1168" s="0"/>
      <c r="Y1168" s="0"/>
    </row>
    <row r="1169" customFormat="false" ht="12.8" hidden="false" customHeight="false" outlineLevel="0" collapsed="false">
      <c r="G1169" s="25" t="n">
        <v>44970</v>
      </c>
      <c r="H1169" s="26" t="s">
        <v>10</v>
      </c>
      <c r="I1169" s="5" t="n">
        <v>-65</v>
      </c>
      <c r="J1169" s="54" t="s">
        <v>38</v>
      </c>
      <c r="K1169" s="0"/>
      <c r="L1169" s="0"/>
      <c r="U1169" s="0"/>
      <c r="V1169" s="0"/>
      <c r="W1169" s="0"/>
      <c r="X1169" s="0"/>
      <c r="Y1169" s="0"/>
    </row>
    <row r="1170" customFormat="false" ht="12.8" hidden="false" customHeight="false" outlineLevel="0" collapsed="false">
      <c r="G1170" s="25" t="n">
        <v>44970</v>
      </c>
      <c r="H1170" s="32" t="s">
        <v>15</v>
      </c>
      <c r="I1170" s="5" t="n">
        <v>65</v>
      </c>
      <c r="J1170" s="54" t="s">
        <v>38</v>
      </c>
      <c r="K1170" s="0"/>
      <c r="L1170" s="0"/>
      <c r="U1170" s="0"/>
      <c r="V1170" s="0"/>
      <c r="W1170" s="0"/>
      <c r="X1170" s="0"/>
      <c r="Y1170" s="0"/>
    </row>
    <row r="1171" customFormat="false" ht="12.8" hidden="false" customHeight="false" outlineLevel="0" collapsed="false">
      <c r="G1171" s="25" t="n">
        <v>44970</v>
      </c>
      <c r="H1171" s="32" t="s">
        <v>15</v>
      </c>
      <c r="I1171" s="5" t="n">
        <v>-57.37</v>
      </c>
      <c r="J1171" s="54" t="s">
        <v>37</v>
      </c>
      <c r="K1171" s="0"/>
      <c r="L1171" s="0"/>
      <c r="U1171" s="0"/>
      <c r="V1171" s="0"/>
      <c r="W1171" s="0"/>
      <c r="X1171" s="0"/>
      <c r="Y1171" s="0"/>
    </row>
    <row r="1172" customFormat="false" ht="12.8" hidden="false" customHeight="false" outlineLevel="0" collapsed="false">
      <c r="G1172" s="25" t="n">
        <v>44971</v>
      </c>
      <c r="H1172" s="26" t="s">
        <v>10</v>
      </c>
      <c r="I1172" s="5" t="n">
        <v>-57</v>
      </c>
      <c r="J1172" s="54" t="s">
        <v>38</v>
      </c>
      <c r="K1172" s="0"/>
      <c r="L1172" s="0"/>
      <c r="U1172" s="0"/>
      <c r="V1172" s="0"/>
      <c r="W1172" s="0"/>
      <c r="X1172" s="0"/>
      <c r="Y1172" s="0"/>
    </row>
    <row r="1173" customFormat="false" ht="12.8" hidden="false" customHeight="false" outlineLevel="0" collapsed="false">
      <c r="G1173" s="25" t="n">
        <v>44971</v>
      </c>
      <c r="H1173" s="32" t="s">
        <v>15</v>
      </c>
      <c r="I1173" s="5" t="n">
        <v>57</v>
      </c>
      <c r="J1173" s="54" t="s">
        <v>38</v>
      </c>
      <c r="K1173" s="0"/>
      <c r="L1173" s="0"/>
      <c r="U1173" s="0"/>
      <c r="V1173" s="0"/>
      <c r="W1173" s="0"/>
      <c r="X1173" s="0"/>
      <c r="Y1173" s="0"/>
    </row>
    <row r="1174" customFormat="false" ht="12.8" hidden="false" customHeight="false" outlineLevel="0" collapsed="false">
      <c r="G1174" s="25" t="n">
        <v>44971</v>
      </c>
      <c r="H1174" s="32" t="s">
        <v>15</v>
      </c>
      <c r="I1174" s="5" t="n">
        <v>-62.94</v>
      </c>
      <c r="J1174" s="54" t="s">
        <v>37</v>
      </c>
      <c r="K1174" s="0"/>
      <c r="L1174" s="0"/>
      <c r="U1174" s="0"/>
      <c r="V1174" s="0"/>
      <c r="W1174" s="0"/>
      <c r="X1174" s="0"/>
      <c r="Y1174" s="0"/>
    </row>
    <row r="1175" customFormat="false" ht="12.8" hidden="false" customHeight="false" outlineLevel="0" collapsed="false">
      <c r="G1175" s="25" t="n">
        <v>44971</v>
      </c>
      <c r="H1175" s="43" t="s">
        <v>23</v>
      </c>
      <c r="I1175" s="5" t="n">
        <v>1898</v>
      </c>
      <c r="J1175" s="10" t="s">
        <v>70</v>
      </c>
      <c r="K1175" s="0"/>
      <c r="L1175" s="0"/>
      <c r="U1175" s="0"/>
      <c r="V1175" s="0"/>
      <c r="W1175" s="0"/>
      <c r="X1175" s="0"/>
      <c r="Y1175" s="0"/>
    </row>
    <row r="1176" customFormat="false" ht="12.8" hidden="false" customHeight="false" outlineLevel="0" collapsed="false">
      <c r="G1176" s="25" t="n">
        <v>44971</v>
      </c>
      <c r="H1176" s="43" t="s">
        <v>23</v>
      </c>
      <c r="I1176" s="5" t="n">
        <v>-5</v>
      </c>
      <c r="J1176" s="10" t="s">
        <v>43</v>
      </c>
      <c r="K1176" s="0"/>
      <c r="L1176" s="0"/>
      <c r="U1176" s="0"/>
      <c r="V1176" s="0"/>
      <c r="W1176" s="0"/>
      <c r="X1176" s="0"/>
      <c r="Y1176" s="0"/>
    </row>
    <row r="1177" customFormat="false" ht="12.8" hidden="false" customHeight="false" outlineLevel="0" collapsed="false">
      <c r="G1177" s="25" t="n">
        <v>44972</v>
      </c>
      <c r="H1177" s="43" t="s">
        <v>23</v>
      </c>
      <c r="I1177" s="5" t="n">
        <v>-61.74</v>
      </c>
      <c r="J1177" s="10" t="s">
        <v>37</v>
      </c>
      <c r="K1177" s="0"/>
      <c r="L1177" s="0"/>
      <c r="U1177" s="0"/>
      <c r="V1177" s="0"/>
      <c r="W1177" s="0"/>
      <c r="X1177" s="0"/>
      <c r="Y1177" s="0"/>
    </row>
    <row r="1178" customFormat="false" ht="12.8" hidden="false" customHeight="false" outlineLevel="0" collapsed="false">
      <c r="G1178" s="25" t="n">
        <v>44973</v>
      </c>
      <c r="H1178" s="43" t="s">
        <v>23</v>
      </c>
      <c r="I1178" s="5" t="n">
        <v>-63.66</v>
      </c>
      <c r="J1178" s="10" t="s">
        <v>37</v>
      </c>
      <c r="K1178" s="0"/>
      <c r="L1178" s="0"/>
      <c r="U1178" s="0"/>
      <c r="V1178" s="0"/>
      <c r="W1178" s="0"/>
      <c r="X1178" s="0"/>
      <c r="Y1178" s="0"/>
    </row>
    <row r="1179" customFormat="false" ht="12.8" hidden="false" customHeight="false" outlineLevel="0" collapsed="false">
      <c r="G1179" s="25" t="n">
        <v>44973</v>
      </c>
      <c r="H1179" s="43" t="s">
        <v>23</v>
      </c>
      <c r="I1179" s="5" t="n">
        <v>526</v>
      </c>
      <c r="J1179" s="10" t="s">
        <v>70</v>
      </c>
      <c r="K1179" s="0"/>
      <c r="L1179" s="0"/>
      <c r="U1179" s="0"/>
      <c r="V1179" s="0"/>
      <c r="W1179" s="0"/>
      <c r="X1179" s="0"/>
      <c r="Y1179" s="0"/>
    </row>
    <row r="1180" customFormat="false" ht="12.8" hidden="false" customHeight="false" outlineLevel="0" collapsed="false">
      <c r="G1180" s="25" t="n">
        <v>44974</v>
      </c>
      <c r="H1180" s="43" t="s">
        <v>23</v>
      </c>
      <c r="I1180" s="5" t="n">
        <v>-79.21</v>
      </c>
      <c r="J1180" s="10" t="s">
        <v>37</v>
      </c>
      <c r="K1180" s="0"/>
      <c r="L1180" s="0"/>
      <c r="U1180" s="0"/>
      <c r="V1180" s="0"/>
      <c r="W1180" s="0"/>
      <c r="X1180" s="0"/>
      <c r="Y1180" s="0"/>
    </row>
    <row r="1181" customFormat="false" ht="12.8" hidden="false" customHeight="false" outlineLevel="0" collapsed="false">
      <c r="G1181" s="25" t="n">
        <v>44974</v>
      </c>
      <c r="H1181" s="52" t="s">
        <v>14</v>
      </c>
      <c r="I1181" s="5" t="n">
        <f aca="false">4125.28-4118.27</f>
        <v>7.00999999999931</v>
      </c>
      <c r="J1181" s="0" t="s">
        <v>40</v>
      </c>
      <c r="K1181" s="0"/>
      <c r="L1181" s="0"/>
      <c r="U1181" s="0"/>
      <c r="V1181" s="0"/>
      <c r="W1181" s="0"/>
      <c r="X1181" s="0"/>
      <c r="Y1181" s="0"/>
    </row>
    <row r="1182" customFormat="false" ht="12.8" hidden="false" customHeight="false" outlineLevel="0" collapsed="false">
      <c r="G1182" s="25" t="n">
        <v>44974</v>
      </c>
      <c r="H1182" s="26" t="s">
        <v>10</v>
      </c>
      <c r="I1182" s="5" t="n">
        <v>-250</v>
      </c>
      <c r="J1182" s="54" t="s">
        <v>38</v>
      </c>
      <c r="K1182" s="0"/>
      <c r="L1182" s="0"/>
      <c r="U1182" s="0"/>
      <c r="V1182" s="0"/>
      <c r="W1182" s="0"/>
      <c r="X1182" s="0"/>
      <c r="Y1182" s="0"/>
    </row>
    <row r="1183" customFormat="false" ht="12.8" hidden="false" customHeight="false" outlineLevel="0" collapsed="false">
      <c r="G1183" s="25" t="n">
        <v>44974</v>
      </c>
      <c r="H1183" s="32" t="s">
        <v>15</v>
      </c>
      <c r="I1183" s="5" t="n">
        <v>250</v>
      </c>
      <c r="J1183" s="54" t="s">
        <v>38</v>
      </c>
      <c r="K1183" s="0"/>
      <c r="L1183" s="0"/>
      <c r="U1183" s="0"/>
      <c r="V1183" s="0"/>
      <c r="W1183" s="0"/>
      <c r="X1183" s="0"/>
      <c r="Y1183" s="0"/>
    </row>
    <row r="1184" customFormat="false" ht="12.8" hidden="false" customHeight="false" outlineLevel="0" collapsed="false">
      <c r="G1184" s="25" t="n">
        <v>44974</v>
      </c>
      <c r="H1184" s="32" t="s">
        <v>15</v>
      </c>
      <c r="I1184" s="5" t="n">
        <v>-252</v>
      </c>
      <c r="J1184" s="54" t="s">
        <v>120</v>
      </c>
      <c r="K1184" s="0"/>
      <c r="L1184" s="0"/>
      <c r="U1184" s="0"/>
      <c r="V1184" s="0"/>
      <c r="W1184" s="0"/>
      <c r="X1184" s="0"/>
      <c r="Y1184" s="0"/>
    </row>
    <row r="1185" customFormat="false" ht="12.8" hidden="false" customHeight="false" outlineLevel="0" collapsed="false">
      <c r="G1185" s="25" t="n">
        <v>44974</v>
      </c>
      <c r="H1185" s="48" t="s">
        <v>26</v>
      </c>
      <c r="I1185" s="5" t="n">
        <v>252</v>
      </c>
      <c r="J1185" s="0" t="s">
        <v>121</v>
      </c>
      <c r="K1185" s="0"/>
      <c r="L1185" s="0"/>
      <c r="U1185" s="0"/>
      <c r="V1185" s="0"/>
      <c r="W1185" s="0"/>
      <c r="X1185" s="0"/>
      <c r="Y1185" s="0"/>
    </row>
    <row r="1186" customFormat="false" ht="12.8" hidden="false" customHeight="false" outlineLevel="0" collapsed="false">
      <c r="G1186" s="25" t="n">
        <v>44974</v>
      </c>
      <c r="H1186" s="48" t="s">
        <v>26</v>
      </c>
      <c r="I1186" s="5" t="n">
        <v>-252</v>
      </c>
      <c r="J1186" s="0" t="s">
        <v>104</v>
      </c>
      <c r="K1186" s="0"/>
      <c r="L1186" s="0"/>
      <c r="U1186" s="0"/>
      <c r="V1186" s="0"/>
      <c r="W1186" s="0"/>
      <c r="X1186" s="0"/>
      <c r="Y1186" s="0"/>
    </row>
    <row r="1187" customFormat="false" ht="12.8" hidden="false" customHeight="false" outlineLevel="0" collapsed="false">
      <c r="G1187" s="25" t="n">
        <v>44974</v>
      </c>
      <c r="H1187" s="52" t="s">
        <v>14</v>
      </c>
      <c r="I1187" s="5" t="n">
        <v>252</v>
      </c>
      <c r="J1187" s="0" t="s">
        <v>104</v>
      </c>
      <c r="K1187" s="0"/>
      <c r="L1187" s="0"/>
      <c r="U1187" s="0"/>
      <c r="V1187" s="0"/>
      <c r="W1187" s="0"/>
      <c r="X1187" s="0"/>
      <c r="Y1187" s="0"/>
    </row>
    <row r="1188" customFormat="false" ht="12.8" hidden="false" customHeight="false" outlineLevel="0" collapsed="false">
      <c r="G1188" s="25" t="n">
        <v>44975</v>
      </c>
      <c r="H1188" s="43" t="s">
        <v>23</v>
      </c>
      <c r="I1188" s="5" t="n">
        <v>-46</v>
      </c>
      <c r="J1188" s="10" t="s">
        <v>37</v>
      </c>
      <c r="K1188" s="0"/>
      <c r="L1188" s="0"/>
      <c r="U1188" s="0"/>
      <c r="V1188" s="0"/>
      <c r="W1188" s="0"/>
      <c r="X1188" s="0"/>
      <c r="Y1188" s="0"/>
    </row>
    <row r="1189" customFormat="false" ht="12.8" hidden="false" customHeight="false" outlineLevel="0" collapsed="false">
      <c r="G1189" s="25" t="n">
        <v>44976</v>
      </c>
      <c r="H1189" s="43" t="s">
        <v>23</v>
      </c>
      <c r="I1189" s="5" t="n">
        <v>-46</v>
      </c>
      <c r="J1189" s="10" t="s">
        <v>37</v>
      </c>
      <c r="K1189" s="0"/>
      <c r="L1189" s="0"/>
      <c r="U1189" s="0"/>
      <c r="V1189" s="0"/>
      <c r="W1189" s="0"/>
      <c r="X1189" s="0"/>
      <c r="Y1189" s="0"/>
    </row>
    <row r="1190" customFormat="false" ht="12.8" hidden="false" customHeight="false" outlineLevel="0" collapsed="false">
      <c r="G1190" s="25" t="n">
        <v>44977</v>
      </c>
      <c r="H1190" s="43" t="s">
        <v>23</v>
      </c>
      <c r="I1190" s="5" t="n">
        <v>-45</v>
      </c>
      <c r="J1190" s="10" t="s">
        <v>37</v>
      </c>
      <c r="K1190" s="0"/>
      <c r="L1190" s="0"/>
      <c r="U1190" s="0"/>
      <c r="V1190" s="0"/>
      <c r="W1190" s="0"/>
      <c r="X1190" s="0"/>
      <c r="Y1190" s="0"/>
    </row>
    <row r="1191" customFormat="false" ht="12.8" hidden="false" customHeight="false" outlineLevel="0" collapsed="false">
      <c r="G1191" s="25" t="n">
        <v>44977</v>
      </c>
      <c r="H1191" s="43" t="s">
        <v>23</v>
      </c>
      <c r="I1191" s="5" t="n">
        <v>-675.89</v>
      </c>
      <c r="J1191" s="10" t="s">
        <v>52</v>
      </c>
      <c r="K1191" s="0"/>
      <c r="L1191" s="0"/>
      <c r="U1191" s="0"/>
      <c r="V1191" s="0"/>
      <c r="W1191" s="0"/>
      <c r="X1191" s="0"/>
      <c r="Y1191" s="0"/>
    </row>
    <row r="1192" customFormat="false" ht="12.8" hidden="false" customHeight="false" outlineLevel="0" collapsed="false">
      <c r="G1192" s="25" t="n">
        <v>44978</v>
      </c>
      <c r="H1192" s="43" t="s">
        <v>23</v>
      </c>
      <c r="I1192" s="5" t="n">
        <v>-46</v>
      </c>
      <c r="J1192" s="10" t="s">
        <v>37</v>
      </c>
      <c r="K1192" s="0"/>
      <c r="L1192" s="0"/>
      <c r="U1192" s="0"/>
      <c r="V1192" s="0"/>
      <c r="W1192" s="0"/>
      <c r="X1192" s="0"/>
      <c r="Y1192" s="0"/>
    </row>
    <row r="1193" customFormat="false" ht="12.8" hidden="false" customHeight="false" outlineLevel="0" collapsed="false">
      <c r="G1193" s="25" t="n">
        <v>44979</v>
      </c>
      <c r="H1193" s="43" t="s">
        <v>23</v>
      </c>
      <c r="I1193" s="5" t="n">
        <v>-95.43</v>
      </c>
      <c r="J1193" s="0" t="s">
        <v>53</v>
      </c>
      <c r="K1193" s="0"/>
      <c r="L1193" s="0"/>
      <c r="U1193" s="0"/>
      <c r="V1193" s="0"/>
      <c r="W1193" s="0"/>
      <c r="X1193" s="0"/>
      <c r="Y1193" s="0"/>
    </row>
    <row r="1194" customFormat="false" ht="12.8" hidden="false" customHeight="false" outlineLevel="0" collapsed="false">
      <c r="G1194" s="25" t="n">
        <v>44979</v>
      </c>
      <c r="H1194" s="43" t="s">
        <v>23</v>
      </c>
      <c r="I1194" s="5" t="n">
        <v>-46</v>
      </c>
      <c r="J1194" s="10" t="s">
        <v>37</v>
      </c>
      <c r="K1194" s="0"/>
      <c r="L1194" s="0"/>
      <c r="U1194" s="0"/>
      <c r="V1194" s="0"/>
      <c r="W1194" s="0"/>
      <c r="X1194" s="0"/>
      <c r="Y1194" s="0"/>
    </row>
    <row r="1195" customFormat="false" ht="12.8" hidden="false" customHeight="false" outlineLevel="0" collapsed="false">
      <c r="G1195" s="25" t="n">
        <v>44979</v>
      </c>
      <c r="H1195" s="43" t="s">
        <v>23</v>
      </c>
      <c r="I1195" s="5" t="n">
        <v>-71.1</v>
      </c>
      <c r="J1195" s="0" t="s">
        <v>48</v>
      </c>
      <c r="K1195" s="0"/>
      <c r="L1195" s="0"/>
      <c r="U1195" s="0"/>
      <c r="V1195" s="0"/>
      <c r="W1195" s="0"/>
      <c r="X1195" s="0"/>
      <c r="Y1195" s="0"/>
    </row>
    <row r="1196" customFormat="false" ht="12.8" hidden="false" customHeight="false" outlineLevel="0" collapsed="false">
      <c r="G1196" s="25" t="n">
        <v>44980</v>
      </c>
      <c r="H1196" s="43" t="s">
        <v>23</v>
      </c>
      <c r="I1196" s="5" t="n">
        <v>-23</v>
      </c>
      <c r="J1196" s="10" t="s">
        <v>37</v>
      </c>
      <c r="K1196" s="0"/>
      <c r="L1196" s="0"/>
      <c r="U1196" s="0"/>
      <c r="V1196" s="0"/>
      <c r="W1196" s="0"/>
      <c r="X1196" s="0"/>
      <c r="Y1196" s="0"/>
    </row>
    <row r="1197" customFormat="false" ht="12.8" hidden="false" customHeight="false" outlineLevel="0" collapsed="false">
      <c r="G1197" s="25" t="n">
        <v>44980</v>
      </c>
      <c r="H1197" s="43" t="s">
        <v>23</v>
      </c>
      <c r="I1197" s="5" t="n">
        <v>-15</v>
      </c>
      <c r="J1197" s="0" t="s">
        <v>69</v>
      </c>
      <c r="K1197" s="0"/>
      <c r="L1197" s="0"/>
      <c r="U1197" s="0"/>
      <c r="V1197" s="0"/>
      <c r="W1197" s="0"/>
      <c r="X1197" s="0"/>
      <c r="Y1197" s="0"/>
    </row>
    <row r="1198" customFormat="false" ht="12.8" hidden="false" customHeight="false" outlineLevel="0" collapsed="false">
      <c r="G1198" s="25" t="n">
        <v>44980</v>
      </c>
      <c r="H1198" s="38" t="s">
        <v>21</v>
      </c>
      <c r="I1198" s="5" t="n">
        <v>15</v>
      </c>
      <c r="J1198" s="0" t="s">
        <v>123</v>
      </c>
      <c r="K1198" s="0"/>
      <c r="L1198" s="0"/>
      <c r="U1198" s="0"/>
      <c r="V1198" s="0"/>
      <c r="W1198" s="0"/>
      <c r="X1198" s="0"/>
      <c r="Y1198" s="0"/>
    </row>
    <row r="1199" customFormat="false" ht="12.8" hidden="false" customHeight="false" outlineLevel="0" collapsed="false">
      <c r="G1199" s="25" t="n">
        <v>44981</v>
      </c>
      <c r="H1199" s="26" t="s">
        <v>10</v>
      </c>
      <c r="I1199" s="5" t="n">
        <v>-150</v>
      </c>
      <c r="J1199" s="54" t="s">
        <v>54</v>
      </c>
      <c r="K1199" s="5"/>
      <c r="L1199" s="0"/>
      <c r="U1199" s="0"/>
      <c r="V1199" s="0"/>
      <c r="W1199" s="0"/>
      <c r="X1199" s="0"/>
      <c r="Y1199" s="0"/>
    </row>
    <row r="1200" customFormat="false" ht="12.8" hidden="false" customHeight="false" outlineLevel="0" collapsed="false">
      <c r="G1200" s="25" t="n">
        <v>44981</v>
      </c>
      <c r="H1200" s="32" t="s">
        <v>15</v>
      </c>
      <c r="I1200" s="5" t="n">
        <v>150</v>
      </c>
      <c r="J1200" s="54" t="s">
        <v>54</v>
      </c>
      <c r="K1200" s="5"/>
      <c r="L1200" s="0"/>
      <c r="U1200" s="0"/>
      <c r="V1200" s="0"/>
      <c r="W1200" s="0"/>
      <c r="X1200" s="0"/>
      <c r="Y1200" s="0"/>
    </row>
    <row r="1201" customFormat="false" ht="12.8" hidden="false" customHeight="false" outlineLevel="0" collapsed="false">
      <c r="G1201" s="25" t="n">
        <v>44981</v>
      </c>
      <c r="H1201" s="43" t="s">
        <v>23</v>
      </c>
      <c r="I1201" s="5" t="n">
        <v>-38</v>
      </c>
      <c r="J1201" s="10" t="s">
        <v>37</v>
      </c>
      <c r="K1201" s="0"/>
      <c r="L1201" s="0"/>
      <c r="U1201" s="0"/>
      <c r="V1201" s="0"/>
      <c r="W1201" s="0"/>
      <c r="X1201" s="0"/>
      <c r="Y1201" s="0"/>
    </row>
    <row r="1202" customFormat="false" ht="12.8" hidden="false" customHeight="false" outlineLevel="0" collapsed="false">
      <c r="G1202" s="25" t="n">
        <v>44982</v>
      </c>
      <c r="H1202" s="32" t="s">
        <v>15</v>
      </c>
      <c r="I1202" s="5" t="n">
        <v>-150</v>
      </c>
      <c r="J1202" s="54" t="s">
        <v>119</v>
      </c>
      <c r="K1202" s="5"/>
      <c r="L1202" s="0"/>
      <c r="U1202" s="0"/>
      <c r="V1202" s="0"/>
      <c r="W1202" s="0"/>
      <c r="X1202" s="0"/>
      <c r="Y1202" s="0"/>
    </row>
    <row r="1203" customFormat="false" ht="12.8" hidden="false" customHeight="false" outlineLevel="0" collapsed="false">
      <c r="G1203" s="25" t="n">
        <v>44982</v>
      </c>
      <c r="H1203" s="43" t="s">
        <v>23</v>
      </c>
      <c r="I1203" s="5" t="n">
        <v>-66.68</v>
      </c>
      <c r="J1203" s="10" t="s">
        <v>37</v>
      </c>
      <c r="K1203" s="0"/>
      <c r="L1203" s="0"/>
      <c r="U1203" s="0"/>
      <c r="V1203" s="0"/>
      <c r="W1203" s="0"/>
      <c r="X1203" s="0"/>
      <c r="Y1203" s="0"/>
    </row>
    <row r="1204" customFormat="false" ht="12.8" hidden="false" customHeight="false" outlineLevel="0" collapsed="false">
      <c r="G1204" s="25" t="n">
        <v>44983</v>
      </c>
      <c r="H1204" s="43" t="s">
        <v>23</v>
      </c>
      <c r="I1204" s="5" t="n">
        <v>-70.09</v>
      </c>
      <c r="J1204" s="10" t="s">
        <v>37</v>
      </c>
      <c r="K1204" s="0"/>
      <c r="L1204" s="0"/>
      <c r="U1204" s="0"/>
      <c r="V1204" s="0"/>
      <c r="W1204" s="0"/>
      <c r="X1204" s="0"/>
      <c r="Y1204" s="0"/>
    </row>
    <row r="1205" customFormat="false" ht="12.8" hidden="false" customHeight="false" outlineLevel="0" collapsed="false">
      <c r="G1205" s="25" t="n">
        <v>44984</v>
      </c>
      <c r="H1205" s="52" t="s">
        <v>14</v>
      </c>
      <c r="I1205" s="5" t="n">
        <v>-65</v>
      </c>
      <c r="J1205" s="10" t="s">
        <v>124</v>
      </c>
      <c r="K1205" s="5"/>
      <c r="L1205" s="0"/>
      <c r="U1205" s="0"/>
      <c r="V1205" s="0"/>
      <c r="W1205" s="0"/>
      <c r="X1205" s="0"/>
      <c r="Y1205" s="0"/>
    </row>
    <row r="1206" customFormat="false" ht="12.8" hidden="false" customHeight="false" outlineLevel="0" collapsed="false">
      <c r="G1206" s="25" t="n">
        <v>44984</v>
      </c>
      <c r="H1206" s="48" t="s">
        <v>26</v>
      </c>
      <c r="I1206" s="5" t="n">
        <v>65</v>
      </c>
      <c r="J1206" s="10" t="s">
        <v>66</v>
      </c>
      <c r="K1206" s="5"/>
      <c r="L1206" s="0"/>
      <c r="U1206" s="0"/>
      <c r="V1206" s="0"/>
      <c r="W1206" s="0"/>
      <c r="X1206" s="0"/>
      <c r="Y1206" s="0"/>
    </row>
    <row r="1207" customFormat="false" ht="12.8" hidden="false" customHeight="false" outlineLevel="0" collapsed="false">
      <c r="G1207" s="25" t="n">
        <v>44984</v>
      </c>
      <c r="H1207" s="52" t="s">
        <v>14</v>
      </c>
      <c r="I1207" s="5" t="n">
        <f aca="false">4317.68-4312.28</f>
        <v>5.40000000000055</v>
      </c>
      <c r="J1207" s="0" t="s">
        <v>40</v>
      </c>
      <c r="K1207" s="0"/>
      <c r="L1207" s="0"/>
      <c r="U1207" s="0"/>
      <c r="V1207" s="0"/>
      <c r="W1207" s="0"/>
      <c r="X1207" s="0"/>
      <c r="Y1207" s="0"/>
    </row>
    <row r="1208" customFormat="false" ht="12.8" hidden="false" customHeight="false" outlineLevel="0" collapsed="false">
      <c r="G1208" s="25" t="n">
        <v>44984</v>
      </c>
      <c r="H1208" s="43" t="s">
        <v>23</v>
      </c>
      <c r="I1208" s="5" t="n">
        <v>-58.21</v>
      </c>
      <c r="J1208" s="10" t="s">
        <v>37</v>
      </c>
      <c r="K1208" s="0"/>
      <c r="L1208" s="0"/>
      <c r="U1208" s="0"/>
      <c r="V1208" s="0"/>
      <c r="W1208" s="0"/>
      <c r="X1208" s="0"/>
      <c r="Y1208" s="0"/>
    </row>
    <row r="1209" customFormat="false" ht="12.8" hidden="false" customHeight="false" outlineLevel="0" collapsed="false">
      <c r="G1209" s="25" t="n">
        <v>44984</v>
      </c>
      <c r="H1209" s="43" t="s">
        <v>23</v>
      </c>
      <c r="I1209" s="5" t="n">
        <v>250</v>
      </c>
      <c r="J1209" s="10" t="s">
        <v>72</v>
      </c>
      <c r="K1209" s="0"/>
      <c r="L1209" s="0"/>
      <c r="U1209" s="0"/>
      <c r="V1209" s="0"/>
      <c r="W1209" s="0"/>
      <c r="X1209" s="0"/>
      <c r="Y1209" s="0"/>
    </row>
    <row r="1210" customFormat="false" ht="12.8" hidden="false" customHeight="false" outlineLevel="0" collapsed="false">
      <c r="G1210" s="25" t="n">
        <v>44985</v>
      </c>
      <c r="H1210" s="43" t="s">
        <v>23</v>
      </c>
      <c r="I1210" s="5" t="n">
        <v>-5</v>
      </c>
      <c r="J1210" s="10" t="s">
        <v>43</v>
      </c>
      <c r="K1210" s="0"/>
      <c r="L1210" s="0"/>
      <c r="U1210" s="0"/>
      <c r="V1210" s="0"/>
      <c r="W1210" s="0"/>
      <c r="X1210" s="0"/>
      <c r="Y1210" s="0"/>
    </row>
    <row r="1211" customFormat="false" ht="12.8" hidden="false" customHeight="false" outlineLevel="0" collapsed="false">
      <c r="G1211" s="25" t="n">
        <v>44985</v>
      </c>
      <c r="H1211" s="48" t="s">
        <v>26</v>
      </c>
      <c r="I1211" s="5" t="n">
        <v>-50</v>
      </c>
      <c r="J1211" s="0" t="s">
        <v>98</v>
      </c>
      <c r="K1211" s="0"/>
      <c r="L1211" s="0"/>
      <c r="U1211" s="0"/>
      <c r="V1211" s="0"/>
      <c r="W1211" s="0"/>
      <c r="X1211" s="0"/>
      <c r="Y1211" s="0"/>
    </row>
    <row r="1212" customFormat="false" ht="12.8" hidden="false" customHeight="false" outlineLevel="0" collapsed="false">
      <c r="G1212" s="25" t="n">
        <v>44985</v>
      </c>
      <c r="H1212" s="52" t="s">
        <v>14</v>
      </c>
      <c r="I1212" s="5" t="n">
        <v>50</v>
      </c>
      <c r="J1212" s="55" t="s">
        <v>98</v>
      </c>
      <c r="K1212" s="0"/>
      <c r="L1212" s="0"/>
      <c r="U1212" s="0"/>
      <c r="V1212" s="0"/>
      <c r="W1212" s="0"/>
      <c r="X1212" s="0"/>
      <c r="Y1212" s="0"/>
    </row>
    <row r="1213" customFormat="false" ht="12.8" hidden="false" customHeight="false" outlineLevel="0" collapsed="false">
      <c r="G1213" s="25" t="n">
        <v>44985</v>
      </c>
      <c r="H1213" s="52" t="s">
        <v>14</v>
      </c>
      <c r="I1213" s="5" t="n">
        <v>0.53</v>
      </c>
      <c r="J1213" s="55" t="s">
        <v>40</v>
      </c>
      <c r="K1213" s="0"/>
      <c r="L1213" s="0"/>
      <c r="U1213" s="0"/>
      <c r="V1213" s="0"/>
      <c r="W1213" s="0"/>
      <c r="X1213" s="0"/>
      <c r="Y1213" s="0"/>
    </row>
    <row r="1214" customFormat="false" ht="12.8" hidden="false" customHeight="false" outlineLevel="0" collapsed="false">
      <c r="G1214" s="25" t="n">
        <v>44985</v>
      </c>
      <c r="H1214" s="43" t="s">
        <v>23</v>
      </c>
      <c r="I1214" s="5" t="n">
        <v>-5</v>
      </c>
      <c r="J1214" s="0" t="s">
        <v>64</v>
      </c>
      <c r="K1214" s="0"/>
      <c r="L1214" s="0"/>
      <c r="U1214" s="0"/>
      <c r="V1214" s="0"/>
      <c r="W1214" s="0"/>
      <c r="X1214" s="0"/>
      <c r="Y1214" s="0"/>
    </row>
    <row r="1215" customFormat="false" ht="12.8" hidden="false" customHeight="false" outlineLevel="0" collapsed="false">
      <c r="G1215" s="25" t="n">
        <v>44985</v>
      </c>
      <c r="H1215" s="43" t="s">
        <v>23</v>
      </c>
      <c r="I1215" s="5" t="n">
        <v>-68.88</v>
      </c>
      <c r="J1215" s="10" t="s">
        <v>37</v>
      </c>
      <c r="K1215" s="0"/>
      <c r="L1215" s="0"/>
      <c r="U1215" s="0"/>
      <c r="V1215" s="0"/>
      <c r="W1215" s="0"/>
      <c r="X1215" s="0"/>
      <c r="Y1215" s="0"/>
    </row>
    <row r="1216" customFormat="false" ht="12.8" hidden="false" customHeight="false" outlineLevel="0" collapsed="false">
      <c r="G1216" s="25" t="n">
        <v>44986</v>
      </c>
      <c r="H1216" s="43" t="s">
        <v>23</v>
      </c>
      <c r="I1216" s="5" t="n">
        <v>-81.96</v>
      </c>
      <c r="J1216" s="66" t="s">
        <v>125</v>
      </c>
      <c r="K1216" s="0"/>
      <c r="L1216" s="0"/>
      <c r="U1216" s="0"/>
      <c r="V1216" s="0"/>
      <c r="W1216" s="0"/>
      <c r="X1216" s="0"/>
      <c r="Y1216" s="0"/>
    </row>
    <row r="1217" customFormat="false" ht="12.8" hidden="false" customHeight="false" outlineLevel="0" collapsed="false">
      <c r="G1217" s="25" t="n">
        <v>44987</v>
      </c>
      <c r="H1217" s="38" t="s">
        <v>21</v>
      </c>
      <c r="I1217" s="5" t="n">
        <v>-15</v>
      </c>
      <c r="J1217" s="0" t="s">
        <v>82</v>
      </c>
      <c r="K1217" s="0"/>
      <c r="L1217" s="0"/>
      <c r="U1217" s="0"/>
      <c r="V1217" s="0"/>
      <c r="W1217" s="0"/>
      <c r="X1217" s="0"/>
      <c r="Y1217" s="0"/>
    </row>
    <row r="1218" customFormat="false" ht="12.8" hidden="false" customHeight="false" outlineLevel="0" collapsed="false">
      <c r="G1218" s="25" t="n">
        <v>44987</v>
      </c>
      <c r="H1218" s="48" t="s">
        <v>26</v>
      </c>
      <c r="I1218" s="5" t="n">
        <f aca="false">-5*2-5</f>
        <v>-15</v>
      </c>
      <c r="J1218" s="0" t="s">
        <v>82</v>
      </c>
      <c r="K1218" s="0"/>
      <c r="L1218" s="0"/>
      <c r="U1218" s="0"/>
      <c r="V1218" s="0"/>
      <c r="W1218" s="0"/>
      <c r="X1218" s="0"/>
      <c r="Y1218" s="0"/>
    </row>
    <row r="1219" customFormat="false" ht="12.8" hidden="false" customHeight="false" outlineLevel="0" collapsed="false">
      <c r="G1219" s="25" t="n">
        <v>44987</v>
      </c>
      <c r="H1219" s="26" t="s">
        <v>10</v>
      </c>
      <c r="I1219" s="5" t="n">
        <v>1.31</v>
      </c>
      <c r="J1219" s="0" t="s">
        <v>40</v>
      </c>
      <c r="K1219" s="0"/>
      <c r="L1219" s="0"/>
      <c r="U1219" s="0"/>
      <c r="V1219" s="0"/>
      <c r="W1219" s="0"/>
      <c r="X1219" s="0"/>
      <c r="Y1219" s="0"/>
    </row>
    <row r="1220" customFormat="false" ht="12.8" hidden="false" customHeight="false" outlineLevel="0" collapsed="false">
      <c r="G1220" s="25" t="n">
        <v>44987</v>
      </c>
      <c r="H1220" s="43" t="s">
        <v>23</v>
      </c>
      <c r="I1220" s="5" t="n">
        <v>-70.77</v>
      </c>
      <c r="J1220" s="10" t="s">
        <v>37</v>
      </c>
      <c r="K1220" s="0"/>
      <c r="L1220" s="0"/>
      <c r="U1220" s="0"/>
      <c r="V1220" s="0"/>
      <c r="W1220" s="0"/>
      <c r="X1220" s="0"/>
      <c r="Y1220" s="0"/>
    </row>
    <row r="1221" customFormat="false" ht="12.8" hidden="false" customHeight="false" outlineLevel="0" collapsed="false">
      <c r="G1221" s="25" t="n">
        <v>44988</v>
      </c>
      <c r="H1221" s="43" t="s">
        <v>23</v>
      </c>
      <c r="I1221" s="5" t="n">
        <v>-64.1</v>
      </c>
      <c r="J1221" s="10" t="s">
        <v>37</v>
      </c>
      <c r="K1221" s="0"/>
      <c r="L1221" s="0"/>
      <c r="U1221" s="0"/>
      <c r="V1221" s="0"/>
      <c r="W1221" s="0"/>
      <c r="X1221" s="0"/>
      <c r="Y1221" s="0"/>
    </row>
    <row r="1222" customFormat="false" ht="12.8" hidden="false" customHeight="false" outlineLevel="0" collapsed="false">
      <c r="G1222" s="25" t="n">
        <v>44989</v>
      </c>
      <c r="H1222" s="43" t="s">
        <v>23</v>
      </c>
      <c r="I1222" s="5" t="n">
        <v>-71.97</v>
      </c>
      <c r="J1222" s="10" t="s">
        <v>37</v>
      </c>
      <c r="K1222" s="0"/>
      <c r="L1222" s="0"/>
      <c r="U1222" s="0"/>
      <c r="V1222" s="0"/>
      <c r="W1222" s="0"/>
      <c r="X1222" s="0"/>
      <c r="Y1222" s="0"/>
    </row>
    <row r="1223" customFormat="false" ht="12.8" hidden="false" customHeight="false" outlineLevel="0" collapsed="false">
      <c r="G1223" s="25" t="n">
        <v>44990</v>
      </c>
      <c r="H1223" s="43" t="s">
        <v>23</v>
      </c>
      <c r="I1223" s="5" t="n">
        <v>-77.74</v>
      </c>
      <c r="J1223" s="10" t="s">
        <v>37</v>
      </c>
      <c r="K1223" s="0"/>
      <c r="L1223" s="0"/>
      <c r="U1223" s="0"/>
      <c r="V1223" s="0"/>
      <c r="W1223" s="0"/>
      <c r="X1223" s="0"/>
      <c r="Y1223" s="0"/>
    </row>
    <row r="1224" customFormat="false" ht="12.8" hidden="false" customHeight="false" outlineLevel="0" collapsed="false">
      <c r="G1224" s="3" t="n">
        <v>44991</v>
      </c>
      <c r="H1224" s="52" t="s">
        <v>14</v>
      </c>
      <c r="I1224" s="5" t="n">
        <f aca="false">4371.45-4368.21</f>
        <v>3.23999999999978</v>
      </c>
      <c r="J1224" s="10" t="s">
        <v>40</v>
      </c>
      <c r="K1224" s="0"/>
      <c r="L1224" s="0"/>
      <c r="U1224" s="0"/>
      <c r="V1224" s="0"/>
      <c r="W1224" s="0"/>
      <c r="X1224" s="0"/>
      <c r="Y1224" s="0"/>
    </row>
    <row r="1225" customFormat="false" ht="12.8" hidden="false" customHeight="false" outlineLevel="0" collapsed="false">
      <c r="G1225" s="3" t="n">
        <v>44991</v>
      </c>
      <c r="H1225" s="52" t="s">
        <v>14</v>
      </c>
      <c r="I1225" s="5" t="n">
        <v>-2003</v>
      </c>
      <c r="J1225" s="10" t="s">
        <v>66</v>
      </c>
      <c r="K1225" s="0"/>
      <c r="L1225" s="0"/>
      <c r="U1225" s="0"/>
      <c r="V1225" s="0"/>
      <c r="W1225" s="0"/>
      <c r="X1225" s="0"/>
      <c r="Y1225" s="0"/>
    </row>
    <row r="1226" customFormat="false" ht="12.8" hidden="false" customHeight="false" outlineLevel="0" collapsed="false">
      <c r="G1226" s="3" t="n">
        <v>44991</v>
      </c>
      <c r="H1226" s="48" t="s">
        <v>26</v>
      </c>
      <c r="I1226" s="5" t="n">
        <v>2003</v>
      </c>
      <c r="J1226" s="10" t="s">
        <v>66</v>
      </c>
      <c r="K1226" s="0"/>
      <c r="L1226" s="0"/>
      <c r="U1226" s="0"/>
      <c r="V1226" s="0"/>
      <c r="W1226" s="0"/>
      <c r="X1226" s="0"/>
      <c r="Y1226" s="0"/>
    </row>
    <row r="1227" customFormat="false" ht="12.8" hidden="false" customHeight="false" outlineLevel="0" collapsed="false">
      <c r="G1227" s="3" t="n">
        <v>44991</v>
      </c>
      <c r="H1227" s="48" t="s">
        <v>26</v>
      </c>
      <c r="I1227" s="5" t="n">
        <v>-2000</v>
      </c>
      <c r="J1227" s="55" t="s">
        <v>68</v>
      </c>
      <c r="K1227" s="0"/>
      <c r="L1227" s="0"/>
      <c r="U1227" s="0"/>
      <c r="V1227" s="0"/>
      <c r="W1227" s="0"/>
      <c r="X1227" s="0"/>
      <c r="Y1227" s="0"/>
    </row>
    <row r="1228" customFormat="false" ht="12.8" hidden="false" customHeight="false" outlineLevel="0" collapsed="false">
      <c r="G1228" s="3" t="n">
        <v>44991</v>
      </c>
      <c r="H1228" s="48" t="s">
        <v>26</v>
      </c>
      <c r="I1228" s="5" t="n">
        <v>-3</v>
      </c>
      <c r="J1228" s="55" t="s">
        <v>92</v>
      </c>
      <c r="K1228" s="0"/>
      <c r="L1228" s="0"/>
      <c r="U1228" s="0"/>
      <c r="V1228" s="0"/>
      <c r="W1228" s="0"/>
      <c r="X1228" s="0"/>
      <c r="Y1228" s="0"/>
    </row>
    <row r="1229" customFormat="false" ht="12.8" hidden="false" customHeight="false" outlineLevel="0" collapsed="false">
      <c r="G1229" s="3" t="n">
        <v>44991</v>
      </c>
      <c r="H1229" s="32" t="s">
        <v>15</v>
      </c>
      <c r="I1229" s="5" t="n">
        <v>2000</v>
      </c>
      <c r="J1229" s="55" t="s">
        <v>38</v>
      </c>
      <c r="K1229" s="0"/>
      <c r="L1229" s="0"/>
      <c r="U1229" s="0"/>
      <c r="V1229" s="0"/>
      <c r="W1229" s="0"/>
      <c r="X1229" s="0"/>
      <c r="Y1229" s="0"/>
    </row>
    <row r="1230" customFormat="false" ht="12.8" hidden="false" customHeight="false" outlineLevel="0" collapsed="false">
      <c r="G1230" s="25" t="n">
        <v>44991</v>
      </c>
      <c r="H1230" s="43" t="s">
        <v>23</v>
      </c>
      <c r="I1230" s="5" t="n">
        <v>-62.86</v>
      </c>
      <c r="J1230" s="10" t="s">
        <v>37</v>
      </c>
      <c r="K1230" s="0"/>
      <c r="L1230" s="0"/>
      <c r="U1230" s="0"/>
      <c r="V1230" s="0"/>
      <c r="W1230" s="0"/>
      <c r="X1230" s="0"/>
      <c r="Y1230" s="0"/>
    </row>
    <row r="1231" customFormat="false" ht="12.8" hidden="false" customHeight="false" outlineLevel="0" collapsed="false">
      <c r="G1231" s="3" t="n">
        <v>44991</v>
      </c>
      <c r="H1231" s="32" t="s">
        <v>15</v>
      </c>
      <c r="I1231" s="5" t="n">
        <v>-1999.69</v>
      </c>
      <c r="J1231" s="55" t="s">
        <v>104</v>
      </c>
      <c r="K1231" s="0"/>
      <c r="L1231" s="0"/>
      <c r="U1231" s="0"/>
      <c r="V1231" s="0"/>
      <c r="W1231" s="0"/>
      <c r="X1231" s="0"/>
      <c r="Y1231" s="0"/>
    </row>
    <row r="1232" customFormat="false" ht="12.8" hidden="false" customHeight="false" outlineLevel="0" collapsed="false">
      <c r="G1232" s="3" t="n">
        <v>44991</v>
      </c>
      <c r="H1232" s="26" t="s">
        <v>10</v>
      </c>
      <c r="I1232" s="5" t="n">
        <v>1999.69</v>
      </c>
      <c r="J1232" s="54" t="s">
        <v>104</v>
      </c>
      <c r="K1232" s="0"/>
      <c r="L1232" s="0"/>
      <c r="U1232" s="0"/>
      <c r="V1232" s="0"/>
      <c r="W1232" s="0"/>
      <c r="X1232" s="0"/>
      <c r="Y1232" s="0"/>
    </row>
    <row r="1233" customFormat="false" ht="12.8" hidden="false" customHeight="false" outlineLevel="0" collapsed="false">
      <c r="G1233" s="25" t="n">
        <v>44992</v>
      </c>
      <c r="H1233" s="43" t="s">
        <v>23</v>
      </c>
      <c r="I1233" s="5" t="n">
        <v>-41.1</v>
      </c>
      <c r="J1233" s="10" t="s">
        <v>37</v>
      </c>
      <c r="K1233" s="0"/>
      <c r="L1233" s="0"/>
      <c r="U1233" s="0"/>
      <c r="V1233" s="0"/>
      <c r="W1233" s="0"/>
      <c r="X1233" s="0"/>
      <c r="Y1233" s="0"/>
    </row>
    <row r="1234" customFormat="false" ht="12.8" hidden="false" customHeight="false" outlineLevel="0" collapsed="false">
      <c r="G1234" s="25" t="n">
        <v>44992</v>
      </c>
      <c r="H1234" s="26" t="s">
        <v>10</v>
      </c>
      <c r="I1234" s="5" t="n">
        <v>-688</v>
      </c>
      <c r="J1234" s="54" t="s">
        <v>38</v>
      </c>
      <c r="K1234" s="5"/>
      <c r="L1234" s="0"/>
      <c r="U1234" s="0"/>
      <c r="V1234" s="0"/>
      <c r="W1234" s="0"/>
      <c r="X1234" s="0"/>
      <c r="Y1234" s="0"/>
    </row>
    <row r="1235" customFormat="false" ht="12.8" hidden="false" customHeight="false" outlineLevel="0" collapsed="false">
      <c r="G1235" s="25" t="n">
        <v>44992</v>
      </c>
      <c r="H1235" s="32" t="s">
        <v>15</v>
      </c>
      <c r="I1235" s="5" t="n">
        <v>688</v>
      </c>
      <c r="J1235" s="54" t="s">
        <v>38</v>
      </c>
      <c r="K1235" s="0"/>
      <c r="L1235" s="0"/>
      <c r="U1235" s="0"/>
      <c r="V1235" s="0"/>
      <c r="W1235" s="0"/>
      <c r="X1235" s="0"/>
      <c r="Y1235" s="0"/>
    </row>
    <row r="1236" customFormat="false" ht="12.8" hidden="false" customHeight="false" outlineLevel="0" collapsed="false">
      <c r="G1236" s="25" t="n">
        <v>44992</v>
      </c>
      <c r="H1236" s="32" t="s">
        <v>15</v>
      </c>
      <c r="I1236" s="5" t="n">
        <v>-688</v>
      </c>
      <c r="J1236" s="54" t="s">
        <v>104</v>
      </c>
      <c r="K1236" s="0"/>
      <c r="L1236" s="0"/>
      <c r="U1236" s="0"/>
      <c r="V1236" s="0"/>
      <c r="W1236" s="0"/>
      <c r="X1236" s="0"/>
      <c r="Y1236" s="0"/>
    </row>
    <row r="1237" customFormat="false" ht="12.8" hidden="false" customHeight="false" outlineLevel="0" collapsed="false">
      <c r="G1237" s="25" t="n">
        <v>44992</v>
      </c>
      <c r="H1237" s="48" t="s">
        <v>26</v>
      </c>
      <c r="I1237" s="5" t="n">
        <v>688</v>
      </c>
      <c r="J1237" s="0" t="s">
        <v>104</v>
      </c>
      <c r="K1237" s="5"/>
      <c r="L1237" s="0"/>
      <c r="U1237" s="0"/>
      <c r="V1237" s="0"/>
      <c r="W1237" s="0"/>
      <c r="X1237" s="0"/>
      <c r="Y1237" s="0"/>
    </row>
    <row r="1238" customFormat="false" ht="12.8" hidden="false" customHeight="false" outlineLevel="0" collapsed="false">
      <c r="G1238" s="25" t="n">
        <v>44992</v>
      </c>
      <c r="H1238" s="52" t="s">
        <v>14</v>
      </c>
      <c r="I1238" s="5" t="n">
        <v>0.29</v>
      </c>
      <c r="J1238" s="55" t="s">
        <v>40</v>
      </c>
      <c r="K1238" s="5"/>
      <c r="L1238" s="0"/>
      <c r="U1238" s="0"/>
      <c r="V1238" s="0"/>
      <c r="W1238" s="0"/>
      <c r="X1238" s="0"/>
      <c r="Y1238" s="0"/>
    </row>
    <row r="1239" customFormat="false" ht="12.8" hidden="false" customHeight="false" outlineLevel="0" collapsed="false">
      <c r="G1239" s="25" t="n">
        <v>44992</v>
      </c>
      <c r="H1239" s="48" t="s">
        <v>26</v>
      </c>
      <c r="I1239" s="5" t="n">
        <v>-688</v>
      </c>
      <c r="J1239" s="55" t="s">
        <v>104</v>
      </c>
      <c r="K1239" s="0"/>
      <c r="L1239" s="0"/>
      <c r="U1239" s="0"/>
      <c r="V1239" s="0"/>
      <c r="W1239" s="0"/>
      <c r="X1239" s="0"/>
      <c r="Y1239" s="0"/>
    </row>
    <row r="1240" customFormat="false" ht="12.8" hidden="false" customHeight="false" outlineLevel="0" collapsed="false">
      <c r="G1240" s="25" t="n">
        <v>44992</v>
      </c>
      <c r="H1240" s="52" t="s">
        <v>14</v>
      </c>
      <c r="I1240" s="5" t="n">
        <v>688</v>
      </c>
      <c r="J1240" s="55" t="s">
        <v>104</v>
      </c>
      <c r="K1240" s="0"/>
      <c r="L1240" s="0"/>
      <c r="U1240" s="0"/>
      <c r="V1240" s="0"/>
      <c r="W1240" s="0"/>
      <c r="X1240" s="0"/>
      <c r="Y1240" s="0"/>
    </row>
    <row r="1241" customFormat="false" ht="12.8" hidden="false" customHeight="false" outlineLevel="0" collapsed="false">
      <c r="G1241" s="25" t="n">
        <v>44993</v>
      </c>
      <c r="H1241" s="43" t="s">
        <v>23</v>
      </c>
      <c r="I1241" s="5" t="n">
        <v>-44.87</v>
      </c>
      <c r="J1241" s="10" t="s">
        <v>37</v>
      </c>
      <c r="K1241" s="0"/>
      <c r="L1241" s="0"/>
      <c r="U1241" s="0"/>
      <c r="V1241" s="0"/>
      <c r="W1241" s="0"/>
      <c r="X1241" s="0"/>
      <c r="Y1241" s="0"/>
    </row>
    <row r="1242" customFormat="false" ht="12.8" hidden="false" customHeight="false" outlineLevel="0" collapsed="false">
      <c r="G1242" s="25" t="n">
        <v>44994</v>
      </c>
      <c r="H1242" s="43" t="s">
        <v>23</v>
      </c>
      <c r="I1242" s="5" t="n">
        <v>-64.1</v>
      </c>
      <c r="J1242" s="10" t="s">
        <v>37</v>
      </c>
      <c r="K1242" s="0"/>
      <c r="L1242" s="0"/>
      <c r="U1242" s="0"/>
      <c r="V1242" s="0"/>
      <c r="W1242" s="0"/>
      <c r="X1242" s="0"/>
      <c r="Y1242" s="0"/>
    </row>
    <row r="1243" customFormat="false" ht="12.8" hidden="false" customHeight="false" outlineLevel="0" collapsed="false">
      <c r="G1243" s="25" t="n">
        <v>44995</v>
      </c>
      <c r="H1243" s="43" t="s">
        <v>23</v>
      </c>
      <c r="I1243" s="5" t="n">
        <v>-77.67</v>
      </c>
      <c r="J1243" s="10" t="s">
        <v>37</v>
      </c>
      <c r="K1243" s="0"/>
      <c r="L1243" s="0"/>
      <c r="U1243" s="0"/>
      <c r="V1243" s="0"/>
      <c r="W1243" s="0"/>
      <c r="X1243" s="0"/>
      <c r="Y1243" s="0"/>
    </row>
    <row r="1244" customFormat="false" ht="12.8" hidden="false" customHeight="false" outlineLevel="0" collapsed="false">
      <c r="G1244" s="25" t="n">
        <v>44996</v>
      </c>
      <c r="H1244" s="43" t="s">
        <v>23</v>
      </c>
      <c r="I1244" s="5" t="n">
        <v>-64.7</v>
      </c>
      <c r="J1244" s="10" t="s">
        <v>37</v>
      </c>
      <c r="K1244" s="0"/>
      <c r="L1244" s="0"/>
      <c r="U1244" s="0"/>
      <c r="V1244" s="0"/>
      <c r="W1244" s="0"/>
      <c r="X1244" s="0"/>
      <c r="Y1244" s="0"/>
    </row>
    <row r="1245" customFormat="false" ht="12.8" hidden="false" customHeight="false" outlineLevel="0" collapsed="false">
      <c r="G1245" s="25" t="n">
        <v>44997</v>
      </c>
      <c r="H1245" s="26" t="s">
        <v>10</v>
      </c>
      <c r="I1245" s="5" t="n">
        <v>-500</v>
      </c>
      <c r="J1245" s="54" t="s">
        <v>38</v>
      </c>
      <c r="K1245" s="0"/>
      <c r="L1245" s="0"/>
      <c r="U1245" s="0"/>
      <c r="V1245" s="0"/>
      <c r="W1245" s="0"/>
      <c r="X1245" s="0"/>
      <c r="Y1245" s="0"/>
    </row>
    <row r="1246" customFormat="false" ht="12.8" hidden="false" customHeight="false" outlineLevel="0" collapsed="false">
      <c r="G1246" s="25" t="n">
        <v>44997</v>
      </c>
      <c r="H1246" s="32" t="s">
        <v>15</v>
      </c>
      <c r="I1246" s="5" t="n">
        <v>500</v>
      </c>
      <c r="J1246" s="54" t="s">
        <v>38</v>
      </c>
      <c r="K1246" s="0"/>
      <c r="L1246" s="0"/>
      <c r="U1246" s="0"/>
      <c r="V1246" s="0"/>
      <c r="W1246" s="0"/>
      <c r="X1246" s="0"/>
      <c r="Y1246" s="0"/>
    </row>
    <row r="1247" customFormat="false" ht="12.8" hidden="false" customHeight="false" outlineLevel="0" collapsed="false">
      <c r="G1247" s="25" t="n">
        <v>44997</v>
      </c>
      <c r="H1247" s="32" t="s">
        <v>15</v>
      </c>
      <c r="I1247" s="5" t="n">
        <v>-500</v>
      </c>
      <c r="J1247" s="54" t="s">
        <v>126</v>
      </c>
      <c r="K1247" s="0"/>
      <c r="L1247" s="0"/>
      <c r="U1247" s="0"/>
      <c r="V1247" s="0"/>
      <c r="W1247" s="0"/>
      <c r="X1247" s="0"/>
      <c r="Y1247" s="0"/>
    </row>
    <row r="1248" customFormat="false" ht="12.8" hidden="false" customHeight="false" outlineLevel="0" collapsed="false">
      <c r="G1248" s="25" t="n">
        <v>44997</v>
      </c>
      <c r="H1248" s="43" t="s">
        <v>23</v>
      </c>
      <c r="I1248" s="5" t="n">
        <v>-65.06</v>
      </c>
      <c r="J1248" s="10" t="s">
        <v>37</v>
      </c>
      <c r="K1248" s="0"/>
      <c r="L1248" s="0"/>
      <c r="U1248" s="0"/>
      <c r="V1248" s="0"/>
      <c r="W1248" s="0"/>
      <c r="X1248" s="0"/>
      <c r="Y1248" s="0"/>
    </row>
    <row r="1249" customFormat="false" ht="12.8" hidden="false" customHeight="false" outlineLevel="0" collapsed="false">
      <c r="G1249" s="25" t="n">
        <v>44998</v>
      </c>
      <c r="H1249" s="43" t="s">
        <v>23</v>
      </c>
      <c r="I1249" s="5" t="n">
        <v>-35.47</v>
      </c>
      <c r="J1249" s="10" t="s">
        <v>37</v>
      </c>
      <c r="K1249" s="0"/>
      <c r="L1249" s="0"/>
      <c r="U1249" s="0"/>
      <c r="V1249" s="0"/>
      <c r="W1249" s="0"/>
      <c r="X1249" s="0"/>
      <c r="Y1249" s="0"/>
    </row>
    <row r="1250" customFormat="false" ht="12.8" hidden="false" customHeight="false" outlineLevel="0" collapsed="false">
      <c r="G1250" s="25" t="n">
        <v>44998</v>
      </c>
      <c r="H1250" s="26" t="s">
        <v>10</v>
      </c>
      <c r="I1250" s="5" t="n">
        <v>-140</v>
      </c>
      <c r="J1250" s="54" t="s">
        <v>38</v>
      </c>
      <c r="K1250" s="0"/>
      <c r="L1250" s="0"/>
      <c r="U1250" s="0"/>
      <c r="V1250" s="0"/>
      <c r="W1250" s="0"/>
      <c r="X1250" s="0"/>
      <c r="Y1250" s="0"/>
    </row>
    <row r="1251" customFormat="false" ht="12.8" hidden="false" customHeight="false" outlineLevel="0" collapsed="false">
      <c r="G1251" s="25" t="n">
        <v>44998</v>
      </c>
      <c r="H1251" s="32" t="s">
        <v>15</v>
      </c>
      <c r="I1251" s="5" t="n">
        <v>140</v>
      </c>
      <c r="J1251" s="54" t="s">
        <v>38</v>
      </c>
      <c r="K1251" s="0"/>
      <c r="L1251" s="0"/>
      <c r="U1251" s="0"/>
      <c r="V1251" s="0"/>
      <c r="W1251" s="0"/>
      <c r="X1251" s="0"/>
      <c r="Y1251" s="0"/>
    </row>
    <row r="1252" customFormat="false" ht="12.8" hidden="false" customHeight="false" outlineLevel="0" collapsed="false">
      <c r="G1252" s="25" t="n">
        <v>44998</v>
      </c>
      <c r="H1252" s="32" t="s">
        <v>15</v>
      </c>
      <c r="I1252" s="5" t="n">
        <v>-140</v>
      </c>
      <c r="J1252" s="54" t="s">
        <v>127</v>
      </c>
      <c r="K1252" s="0"/>
      <c r="L1252" s="0"/>
      <c r="U1252" s="0"/>
      <c r="V1252" s="0"/>
      <c r="W1252" s="0"/>
      <c r="X1252" s="0"/>
      <c r="Y1252" s="0"/>
    </row>
    <row r="1253" customFormat="false" ht="12.8" hidden="false" customHeight="false" outlineLevel="0" collapsed="false">
      <c r="G1253" s="25" t="n">
        <v>44999</v>
      </c>
      <c r="H1253" s="43" t="s">
        <v>23</v>
      </c>
      <c r="I1253" s="5" t="n">
        <v>-60.25</v>
      </c>
      <c r="J1253" s="10" t="s">
        <v>37</v>
      </c>
      <c r="K1253" s="0"/>
      <c r="L1253" s="0"/>
      <c r="U1253" s="0"/>
      <c r="V1253" s="0"/>
      <c r="W1253" s="0"/>
      <c r="X1253" s="0"/>
      <c r="Y1253" s="0"/>
    </row>
    <row r="1254" customFormat="false" ht="12.8" hidden="false" customHeight="false" outlineLevel="0" collapsed="false">
      <c r="G1254" s="25" t="n">
        <v>45000</v>
      </c>
      <c r="H1254" s="43" t="s">
        <v>23</v>
      </c>
      <c r="I1254" s="5" t="n">
        <v>-70.36</v>
      </c>
      <c r="J1254" s="10" t="s">
        <v>37</v>
      </c>
      <c r="K1254" s="0"/>
      <c r="L1254" s="0"/>
      <c r="U1254" s="0"/>
      <c r="V1254" s="0"/>
      <c r="W1254" s="0"/>
      <c r="X1254" s="0"/>
      <c r="Y1254" s="0"/>
    </row>
    <row r="1255" customFormat="false" ht="12.8" hidden="false" customHeight="false" outlineLevel="0" collapsed="false">
      <c r="G1255" s="25" t="n">
        <v>45000</v>
      </c>
      <c r="H1255" s="43" t="s">
        <v>23</v>
      </c>
      <c r="I1255" s="5" t="n">
        <f aca="false">158</f>
        <v>158</v>
      </c>
      <c r="J1255" s="10" t="s">
        <v>70</v>
      </c>
      <c r="K1255" s="0"/>
      <c r="L1255" s="0"/>
      <c r="U1255" s="0"/>
      <c r="V1255" s="0"/>
      <c r="W1255" s="0"/>
      <c r="X1255" s="0"/>
      <c r="Y1255" s="0"/>
    </row>
    <row r="1256" customFormat="false" ht="12.8" hidden="false" customHeight="false" outlineLevel="0" collapsed="false">
      <c r="G1256" s="25" t="n">
        <v>45000</v>
      </c>
      <c r="H1256" s="43" t="s">
        <v>23</v>
      </c>
      <c r="I1256" s="5" t="n">
        <f aca="false">368</f>
        <v>368</v>
      </c>
      <c r="J1256" s="10" t="s">
        <v>70</v>
      </c>
      <c r="K1256" s="0"/>
      <c r="L1256" s="0"/>
      <c r="U1256" s="0"/>
      <c r="V1256" s="0"/>
      <c r="W1256" s="0"/>
      <c r="X1256" s="0"/>
      <c r="Y1256" s="0"/>
    </row>
    <row r="1257" customFormat="false" ht="12.8" hidden="false" customHeight="false" outlineLevel="0" collapsed="false">
      <c r="G1257" s="25" t="n">
        <v>45000</v>
      </c>
      <c r="H1257" s="43" t="s">
        <v>23</v>
      </c>
      <c r="I1257" s="5" t="n">
        <f aca="false">1898</f>
        <v>1898</v>
      </c>
      <c r="J1257" s="10" t="s">
        <v>70</v>
      </c>
      <c r="K1257" s="0"/>
      <c r="L1257" s="0"/>
      <c r="M1257" s="0"/>
      <c r="U1257" s="0"/>
      <c r="V1257" s="0"/>
      <c r="W1257" s="0"/>
      <c r="X1257" s="0"/>
      <c r="Y1257" s="0"/>
    </row>
    <row r="1258" customFormat="false" ht="12.8" hidden="false" customHeight="false" outlineLevel="0" collapsed="false">
      <c r="G1258" s="25" t="n">
        <v>45000</v>
      </c>
      <c r="H1258" s="43" t="s">
        <v>23</v>
      </c>
      <c r="I1258" s="5" t="n">
        <v>-5</v>
      </c>
      <c r="J1258" s="10" t="s">
        <v>43</v>
      </c>
      <c r="K1258" s="0"/>
      <c r="L1258" s="0"/>
      <c r="M1258" s="0"/>
      <c r="U1258" s="0"/>
      <c r="V1258" s="0"/>
      <c r="W1258" s="0"/>
      <c r="X1258" s="0"/>
      <c r="Y1258" s="0"/>
    </row>
    <row r="1259" customFormat="false" ht="12.8" hidden="false" customHeight="false" outlineLevel="0" collapsed="false">
      <c r="G1259" s="25" t="n">
        <v>45000</v>
      </c>
      <c r="H1259" s="52" t="s">
        <v>14</v>
      </c>
      <c r="I1259" s="5" t="n">
        <f aca="false">3059.78-3056.74</f>
        <v>3.04000000000042</v>
      </c>
      <c r="J1259" s="0" t="s">
        <v>40</v>
      </c>
      <c r="K1259" s="0"/>
      <c r="L1259" s="0"/>
      <c r="M1259" s="0"/>
      <c r="U1259" s="0"/>
      <c r="V1259" s="0"/>
      <c r="W1259" s="0"/>
      <c r="X1259" s="0"/>
      <c r="Y1259" s="0"/>
    </row>
    <row r="1260" customFormat="false" ht="12.8" hidden="false" customHeight="false" outlineLevel="0" collapsed="false">
      <c r="G1260" s="25" t="n">
        <v>45000</v>
      </c>
      <c r="H1260" s="43" t="s">
        <v>23</v>
      </c>
      <c r="I1260" s="5" t="n">
        <v>-50</v>
      </c>
      <c r="J1260" s="0" t="s">
        <v>46</v>
      </c>
      <c r="K1260" s="0"/>
      <c r="L1260" s="0"/>
      <c r="M1260" s="0"/>
      <c r="U1260" s="0"/>
      <c r="V1260" s="0"/>
      <c r="W1260" s="0"/>
      <c r="X1260" s="0"/>
      <c r="Y1260" s="0"/>
    </row>
    <row r="1261" customFormat="false" ht="12.8" hidden="false" customHeight="false" outlineLevel="0" collapsed="false">
      <c r="G1261" s="25" t="n">
        <v>45000</v>
      </c>
      <c r="H1261" s="26" t="s">
        <v>10</v>
      </c>
      <c r="I1261" s="5" t="n">
        <v>-700</v>
      </c>
      <c r="J1261" s="54" t="s">
        <v>38</v>
      </c>
      <c r="K1261" s="0"/>
      <c r="L1261" s="0"/>
      <c r="M1261" s="0"/>
      <c r="U1261" s="0"/>
      <c r="V1261" s="0"/>
      <c r="W1261" s="0"/>
      <c r="X1261" s="0"/>
      <c r="Y1261" s="0"/>
    </row>
    <row r="1262" customFormat="false" ht="12.8" hidden="false" customHeight="false" outlineLevel="0" collapsed="false">
      <c r="G1262" s="25" t="n">
        <v>45000</v>
      </c>
      <c r="H1262" s="32" t="s">
        <v>15</v>
      </c>
      <c r="I1262" s="5" t="n">
        <v>700</v>
      </c>
      <c r="J1262" s="54" t="s">
        <v>38</v>
      </c>
      <c r="K1262" s="0"/>
      <c r="L1262" s="0"/>
      <c r="U1262" s="0"/>
      <c r="V1262" s="0"/>
      <c r="W1262" s="0"/>
      <c r="X1262" s="0"/>
      <c r="Y1262" s="0"/>
    </row>
    <row r="1263" customFormat="false" ht="12.8" hidden="false" customHeight="false" outlineLevel="0" collapsed="false">
      <c r="G1263" s="25" t="n">
        <v>45000</v>
      </c>
      <c r="H1263" s="32" t="s">
        <v>15</v>
      </c>
      <c r="I1263" s="5" t="n">
        <v>-700</v>
      </c>
      <c r="J1263" s="54" t="s">
        <v>110</v>
      </c>
      <c r="K1263" s="0"/>
      <c r="L1263" s="0"/>
      <c r="U1263" s="0"/>
      <c r="V1263" s="0"/>
      <c r="W1263" s="0"/>
      <c r="X1263" s="0"/>
      <c r="Y1263" s="0"/>
    </row>
    <row r="1264" customFormat="false" ht="12.8" hidden="false" customHeight="false" outlineLevel="0" collapsed="false">
      <c r="G1264" s="25" t="n">
        <v>45000</v>
      </c>
      <c r="H1264" s="48" t="s">
        <v>26</v>
      </c>
      <c r="I1264" s="5" t="n">
        <v>700</v>
      </c>
      <c r="J1264" s="0" t="s">
        <v>110</v>
      </c>
      <c r="K1264" s="0"/>
      <c r="L1264" s="0"/>
      <c r="U1264" s="0"/>
      <c r="V1264" s="0"/>
      <c r="W1264" s="0"/>
      <c r="X1264" s="0"/>
      <c r="Y1264" s="0"/>
    </row>
    <row r="1265" customFormat="false" ht="12.8" hidden="false" customHeight="false" outlineLevel="0" collapsed="false">
      <c r="G1265" s="25" t="n">
        <v>45000</v>
      </c>
      <c r="H1265" s="48" t="s">
        <v>26</v>
      </c>
      <c r="I1265" s="5" t="n">
        <v>-700</v>
      </c>
      <c r="J1265" s="0" t="s">
        <v>104</v>
      </c>
      <c r="K1265" s="0"/>
      <c r="L1265" s="0"/>
      <c r="U1265" s="0"/>
      <c r="V1265" s="0"/>
      <c r="W1265" s="0"/>
      <c r="X1265" s="0"/>
      <c r="Y1265" s="0"/>
    </row>
    <row r="1266" customFormat="false" ht="12.8" hidden="false" customHeight="false" outlineLevel="0" collapsed="false">
      <c r="G1266" s="25" t="n">
        <v>45000</v>
      </c>
      <c r="H1266" s="52" t="s">
        <v>14</v>
      </c>
      <c r="I1266" s="5" t="n">
        <v>700</v>
      </c>
      <c r="J1266" s="0" t="s">
        <v>104</v>
      </c>
      <c r="K1266" s="0"/>
      <c r="L1266" s="0"/>
      <c r="U1266" s="0"/>
      <c r="V1266" s="0"/>
      <c r="W1266" s="0"/>
      <c r="X1266" s="0"/>
      <c r="Y1266" s="0"/>
    </row>
    <row r="1267" customFormat="false" ht="12.8" hidden="false" customHeight="false" outlineLevel="0" collapsed="false">
      <c r="G1267" s="25" t="n">
        <v>45000</v>
      </c>
      <c r="H1267" s="52" t="s">
        <v>14</v>
      </c>
      <c r="I1267" s="5" t="n">
        <f aca="false">3760.16-3759.78</f>
        <v>0.379999999999654</v>
      </c>
      <c r="J1267" s="0" t="s">
        <v>40</v>
      </c>
      <c r="K1267" s="0"/>
      <c r="L1267" s="0"/>
      <c r="U1267" s="0"/>
      <c r="V1267" s="0"/>
      <c r="W1267" s="0"/>
      <c r="X1267" s="0"/>
      <c r="Y1267" s="0"/>
    </row>
    <row r="1268" customFormat="false" ht="12.8" hidden="false" customHeight="false" outlineLevel="0" collapsed="false">
      <c r="G1268" s="25" t="n">
        <v>45001</v>
      </c>
      <c r="H1268" s="43" t="s">
        <v>23</v>
      </c>
      <c r="I1268" s="5" t="n">
        <v>-69.82</v>
      </c>
      <c r="J1268" s="10" t="s">
        <v>37</v>
      </c>
      <c r="K1268" s="0"/>
      <c r="L1268" s="0"/>
      <c r="U1268" s="0"/>
      <c r="V1268" s="0"/>
      <c r="W1268" s="0"/>
      <c r="X1268" s="0"/>
      <c r="Y1268" s="0"/>
    </row>
    <row r="1269" customFormat="false" ht="12.8" hidden="false" customHeight="false" outlineLevel="0" collapsed="false">
      <c r="G1269" s="25" t="n">
        <v>45001</v>
      </c>
      <c r="H1269" s="43" t="s">
        <v>23</v>
      </c>
      <c r="I1269" s="5" t="n">
        <v>-71.03</v>
      </c>
      <c r="J1269" s="0" t="s">
        <v>48</v>
      </c>
      <c r="K1269" s="0"/>
      <c r="L1269" s="0"/>
      <c r="U1269" s="0"/>
      <c r="V1269" s="0"/>
      <c r="W1269" s="0"/>
      <c r="X1269" s="0"/>
      <c r="Y1269" s="0"/>
    </row>
    <row r="1270" customFormat="false" ht="12.8" hidden="false" customHeight="false" outlineLevel="0" collapsed="false">
      <c r="G1270" s="25" t="n">
        <v>45002</v>
      </c>
      <c r="H1270" s="43" t="s">
        <v>23</v>
      </c>
      <c r="I1270" s="5" t="n">
        <v>-77.52</v>
      </c>
      <c r="J1270" s="10" t="s">
        <v>37</v>
      </c>
      <c r="K1270" s="0"/>
      <c r="L1270" s="0"/>
      <c r="U1270" s="0"/>
      <c r="V1270" s="0"/>
      <c r="W1270" s="0"/>
      <c r="X1270" s="0"/>
      <c r="Y1270" s="0"/>
    </row>
    <row r="1271" customFormat="false" ht="12.8" hidden="false" customHeight="false" outlineLevel="0" collapsed="false">
      <c r="G1271" s="25" t="n">
        <v>45003</v>
      </c>
      <c r="H1271" s="43" t="s">
        <v>23</v>
      </c>
      <c r="I1271" s="5" t="n">
        <v>-69.82</v>
      </c>
      <c r="J1271" s="10" t="s">
        <v>37</v>
      </c>
      <c r="K1271" s="0"/>
      <c r="L1271" s="0"/>
      <c r="U1271" s="0"/>
      <c r="V1271" s="0"/>
      <c r="W1271" s="0"/>
      <c r="X1271" s="0"/>
      <c r="Y1271" s="0"/>
    </row>
    <row r="1272" customFormat="false" ht="12.8" hidden="false" customHeight="false" outlineLevel="0" collapsed="false">
      <c r="G1272" s="25" t="n">
        <v>45004</v>
      </c>
      <c r="H1272" s="43" t="s">
        <v>23</v>
      </c>
      <c r="I1272" s="5" t="n">
        <v>-59.09</v>
      </c>
      <c r="J1272" s="10" t="s">
        <v>37</v>
      </c>
      <c r="K1272" s="0"/>
      <c r="L1272" s="0"/>
      <c r="M1272" s="0"/>
      <c r="U1272" s="0"/>
      <c r="V1272" s="0"/>
      <c r="W1272" s="0"/>
      <c r="X1272" s="0"/>
      <c r="Y1272" s="0"/>
    </row>
    <row r="1273" customFormat="false" ht="12.8" hidden="false" customHeight="false" outlineLevel="0" collapsed="false">
      <c r="G1273" s="25" t="n">
        <v>45004</v>
      </c>
      <c r="H1273" s="43" t="s">
        <v>23</v>
      </c>
      <c r="I1273" s="5" t="n">
        <v>-20</v>
      </c>
      <c r="J1273" s="0" t="s">
        <v>128</v>
      </c>
      <c r="K1273" s="0"/>
      <c r="L1273" s="0"/>
      <c r="M1273" s="0"/>
      <c r="U1273" s="0"/>
      <c r="V1273" s="0"/>
      <c r="W1273" s="0"/>
      <c r="X1273" s="0"/>
      <c r="Y1273" s="0"/>
    </row>
    <row r="1274" customFormat="false" ht="12.8" hidden="false" customHeight="false" outlineLevel="0" collapsed="false">
      <c r="G1274" s="25" t="n">
        <v>45005</v>
      </c>
      <c r="H1274" s="43" t="s">
        <v>23</v>
      </c>
      <c r="I1274" s="5" t="n">
        <v>-59.42</v>
      </c>
      <c r="J1274" s="10" t="s">
        <v>37</v>
      </c>
      <c r="K1274" s="0"/>
      <c r="L1274" s="0"/>
      <c r="M1274" s="0"/>
      <c r="U1274" s="0"/>
      <c r="V1274" s="0"/>
      <c r="W1274" s="0"/>
      <c r="X1274" s="0"/>
      <c r="Y1274" s="0"/>
    </row>
    <row r="1275" customFormat="false" ht="12.8" hidden="false" customHeight="false" outlineLevel="0" collapsed="false">
      <c r="G1275" s="25" t="n">
        <v>45005</v>
      </c>
      <c r="H1275" s="43" t="s">
        <v>23</v>
      </c>
      <c r="I1275" s="5" t="n">
        <v>-655.02</v>
      </c>
      <c r="J1275" s="10" t="s">
        <v>52</v>
      </c>
      <c r="K1275" s="0"/>
      <c r="L1275" s="0"/>
      <c r="U1275" s="0"/>
      <c r="V1275" s="0"/>
      <c r="W1275" s="0"/>
      <c r="X1275" s="0"/>
      <c r="Y1275" s="0"/>
    </row>
    <row r="1276" customFormat="false" ht="12.8" hidden="false" customHeight="false" outlineLevel="0" collapsed="false">
      <c r="G1276" s="25" t="n">
        <v>45005</v>
      </c>
      <c r="H1276" s="43" t="s">
        <v>23</v>
      </c>
      <c r="I1276" s="5" t="n">
        <v>-95.29</v>
      </c>
      <c r="J1276" s="0" t="s">
        <v>53</v>
      </c>
      <c r="K1276" s="0"/>
      <c r="L1276" s="0"/>
      <c r="U1276" s="0"/>
      <c r="V1276" s="0"/>
      <c r="W1276" s="0"/>
      <c r="X1276" s="0"/>
      <c r="Y1276" s="0"/>
    </row>
    <row r="1277" customFormat="false" ht="12.8" hidden="false" customHeight="false" outlineLevel="0" collapsed="false">
      <c r="G1277" s="25" t="n">
        <v>45006</v>
      </c>
      <c r="H1277" s="43" t="s">
        <v>23</v>
      </c>
      <c r="I1277" s="5" t="n">
        <v>-69.17</v>
      </c>
      <c r="J1277" s="10" t="s">
        <v>37</v>
      </c>
      <c r="K1277" s="0"/>
      <c r="L1277" s="0"/>
      <c r="U1277" s="0"/>
      <c r="V1277" s="0"/>
      <c r="W1277" s="0"/>
      <c r="X1277" s="0"/>
      <c r="Y1277" s="0"/>
    </row>
    <row r="1278" customFormat="false" ht="12.8" hidden="false" customHeight="false" outlineLevel="0" collapsed="false">
      <c r="G1278" s="25" t="n">
        <v>45007</v>
      </c>
      <c r="H1278" s="43" t="s">
        <v>23</v>
      </c>
      <c r="I1278" s="5" t="n">
        <v>-70.08</v>
      </c>
      <c r="J1278" s="10" t="s">
        <v>37</v>
      </c>
      <c r="K1278" s="0"/>
      <c r="L1278" s="0"/>
      <c r="U1278" s="0"/>
      <c r="V1278" s="0"/>
      <c r="W1278" s="0"/>
      <c r="X1278" s="0"/>
      <c r="Y1278" s="0"/>
    </row>
    <row r="1279" customFormat="false" ht="12.8" hidden="false" customHeight="false" outlineLevel="0" collapsed="false">
      <c r="G1279" s="25" t="n">
        <v>45008</v>
      </c>
      <c r="H1279" s="43" t="s">
        <v>23</v>
      </c>
      <c r="I1279" s="5" t="n">
        <v>-72.16</v>
      </c>
      <c r="J1279" s="10" t="s">
        <v>37</v>
      </c>
      <c r="K1279" s="0"/>
      <c r="L1279" s="0"/>
      <c r="U1279" s="0"/>
      <c r="V1279" s="0"/>
      <c r="W1279" s="0"/>
      <c r="X1279" s="0"/>
      <c r="Y1279" s="0"/>
    </row>
    <row r="1280" customFormat="false" ht="12.8" hidden="false" customHeight="false" outlineLevel="0" collapsed="false">
      <c r="G1280" s="25" t="n">
        <v>45009</v>
      </c>
      <c r="H1280" s="26" t="s">
        <v>10</v>
      </c>
      <c r="I1280" s="5" t="n">
        <v>-150</v>
      </c>
      <c r="J1280" s="54" t="s">
        <v>54</v>
      </c>
      <c r="K1280" s="0"/>
      <c r="L1280" s="0"/>
      <c r="U1280" s="0"/>
      <c r="V1280" s="0"/>
      <c r="W1280" s="0"/>
      <c r="X1280" s="0"/>
      <c r="Y1280" s="0"/>
    </row>
    <row r="1281" customFormat="false" ht="12.8" hidden="false" customHeight="false" outlineLevel="0" collapsed="false">
      <c r="G1281" s="25" t="n">
        <v>45009</v>
      </c>
      <c r="H1281" s="32" t="s">
        <v>15</v>
      </c>
      <c r="I1281" s="5" t="n">
        <v>150</v>
      </c>
      <c r="J1281" s="54" t="s">
        <v>54</v>
      </c>
      <c r="K1281" s="0"/>
      <c r="L1281" s="0"/>
      <c r="U1281" s="0"/>
      <c r="V1281" s="0"/>
      <c r="W1281" s="0"/>
      <c r="X1281" s="0"/>
      <c r="Y1281" s="0"/>
    </row>
    <row r="1282" customFormat="false" ht="12.8" hidden="false" customHeight="false" outlineLevel="0" collapsed="false">
      <c r="G1282" s="25" t="n">
        <v>45009</v>
      </c>
      <c r="H1282" s="43" t="s">
        <v>23</v>
      </c>
      <c r="I1282" s="5" t="n">
        <v>-72.04</v>
      </c>
      <c r="J1282" s="10" t="s">
        <v>37</v>
      </c>
      <c r="K1282" s="0"/>
      <c r="L1282" s="0"/>
      <c r="U1282" s="0"/>
      <c r="V1282" s="0"/>
      <c r="W1282" s="0"/>
      <c r="X1282" s="0"/>
      <c r="Y1282" s="0"/>
    </row>
    <row r="1283" customFormat="false" ht="12.8" hidden="false" customHeight="false" outlineLevel="0" collapsed="false">
      <c r="G1283" s="25" t="n">
        <v>45010</v>
      </c>
      <c r="H1283" s="32" t="s">
        <v>15</v>
      </c>
      <c r="I1283" s="5" t="n">
        <v>-150</v>
      </c>
      <c r="J1283" s="0" t="s">
        <v>129</v>
      </c>
      <c r="K1283" s="0"/>
      <c r="L1283" s="0"/>
      <c r="U1283" s="0"/>
      <c r="V1283" s="0"/>
      <c r="W1283" s="0"/>
      <c r="X1283" s="0"/>
      <c r="Y1283" s="0"/>
    </row>
    <row r="1284" customFormat="false" ht="12.8" hidden="false" customHeight="false" outlineLevel="0" collapsed="false">
      <c r="G1284" s="25" t="n">
        <v>45010</v>
      </c>
      <c r="H1284" s="43" t="s">
        <v>23</v>
      </c>
      <c r="I1284" s="5" t="n">
        <v>-94.22</v>
      </c>
      <c r="J1284" s="10" t="s">
        <v>37</v>
      </c>
      <c r="K1284" s="0"/>
      <c r="L1284" s="0"/>
      <c r="U1284" s="0"/>
      <c r="V1284" s="0"/>
      <c r="W1284" s="0"/>
      <c r="X1284" s="0"/>
      <c r="Y1284" s="0"/>
    </row>
    <row r="1285" customFormat="false" ht="12.8" hidden="false" customHeight="false" outlineLevel="0" collapsed="false">
      <c r="G1285" s="25" t="n">
        <v>45011</v>
      </c>
      <c r="H1285" s="43" t="s">
        <v>23</v>
      </c>
      <c r="I1285" s="5" t="n">
        <v>-70.88</v>
      </c>
      <c r="J1285" s="10" t="s">
        <v>37</v>
      </c>
      <c r="K1285" s="0"/>
      <c r="L1285" s="0"/>
      <c r="U1285" s="0"/>
      <c r="V1285" s="0"/>
      <c r="W1285" s="0"/>
      <c r="X1285" s="0"/>
      <c r="Y1285" s="0"/>
    </row>
    <row r="1286" customFormat="false" ht="12.8" hidden="false" customHeight="false" outlineLevel="0" collapsed="false">
      <c r="G1286" s="25" t="n">
        <v>45012</v>
      </c>
      <c r="H1286" s="52" t="s">
        <v>14</v>
      </c>
      <c r="I1286" s="5" t="n">
        <f aca="false">3765.33-3760.16</f>
        <v>5.17000000000007</v>
      </c>
      <c r="J1286" s="0" t="s">
        <v>40</v>
      </c>
      <c r="K1286" s="0"/>
      <c r="L1286" s="0"/>
      <c r="U1286" s="0"/>
      <c r="V1286" s="0"/>
      <c r="W1286" s="0"/>
      <c r="X1286" s="0"/>
      <c r="Y1286" s="0"/>
    </row>
    <row r="1287" customFormat="false" ht="12.8" hidden="false" customHeight="false" outlineLevel="0" collapsed="false">
      <c r="G1287" s="25" t="n">
        <v>45012</v>
      </c>
      <c r="H1287" s="52" t="s">
        <v>14</v>
      </c>
      <c r="I1287" s="5" t="n">
        <v>-65</v>
      </c>
      <c r="J1287" s="10" t="s">
        <v>66</v>
      </c>
      <c r="K1287" s="0"/>
      <c r="L1287" s="0"/>
      <c r="U1287" s="0"/>
      <c r="V1287" s="0"/>
      <c r="W1287" s="0"/>
      <c r="X1287" s="0"/>
      <c r="Y1287" s="0"/>
    </row>
    <row r="1288" customFormat="false" ht="12.8" hidden="false" customHeight="false" outlineLevel="0" collapsed="false">
      <c r="G1288" s="25" t="n">
        <v>45012</v>
      </c>
      <c r="H1288" s="48" t="s">
        <v>26</v>
      </c>
      <c r="I1288" s="5" t="n">
        <v>65</v>
      </c>
      <c r="J1288" s="10" t="s">
        <v>66</v>
      </c>
      <c r="K1288" s="0"/>
      <c r="L1288" s="0"/>
      <c r="U1288" s="0"/>
      <c r="V1288" s="0"/>
      <c r="W1288" s="0"/>
      <c r="X1288" s="0"/>
      <c r="Y1288" s="0"/>
    </row>
    <row r="1289" customFormat="false" ht="12.8" hidden="false" customHeight="false" outlineLevel="0" collapsed="false">
      <c r="G1289" s="25" t="n">
        <v>45012</v>
      </c>
      <c r="H1289" s="43" t="s">
        <v>23</v>
      </c>
      <c r="I1289" s="5" t="n">
        <v>-63.87</v>
      </c>
      <c r="J1289" s="10" t="s">
        <v>37</v>
      </c>
      <c r="K1289" s="0"/>
      <c r="L1289" s="0"/>
      <c r="U1289" s="0"/>
      <c r="V1289" s="0"/>
      <c r="W1289" s="0"/>
      <c r="X1289" s="0"/>
      <c r="Y1289" s="0"/>
    </row>
    <row r="1290" customFormat="false" ht="12.8" hidden="false" customHeight="false" outlineLevel="0" collapsed="false">
      <c r="G1290" s="25" t="n">
        <v>45013</v>
      </c>
      <c r="H1290" s="48" t="s">
        <v>26</v>
      </c>
      <c r="I1290" s="5" t="n">
        <v>-50</v>
      </c>
      <c r="J1290" s="0" t="s">
        <v>98</v>
      </c>
      <c r="K1290" s="0"/>
      <c r="L1290" s="0"/>
      <c r="U1290" s="0"/>
      <c r="V1290" s="0"/>
      <c r="W1290" s="0"/>
      <c r="X1290" s="0"/>
      <c r="Y1290" s="0"/>
    </row>
    <row r="1291" customFormat="false" ht="12.8" hidden="false" customHeight="false" outlineLevel="0" collapsed="false">
      <c r="G1291" s="25" t="n">
        <v>45013</v>
      </c>
      <c r="H1291" s="52" t="s">
        <v>14</v>
      </c>
      <c r="I1291" s="5" t="n">
        <v>50</v>
      </c>
      <c r="J1291" s="55" t="s">
        <v>98</v>
      </c>
      <c r="K1291" s="0"/>
      <c r="L1291" s="0"/>
      <c r="U1291" s="0"/>
      <c r="V1291" s="0"/>
      <c r="W1291" s="0"/>
      <c r="X1291" s="0"/>
      <c r="Y1291" s="0"/>
    </row>
    <row r="1292" customFormat="false" ht="12.8" hidden="false" customHeight="false" outlineLevel="0" collapsed="false">
      <c r="G1292" s="25" t="n">
        <v>45013</v>
      </c>
      <c r="H1292" s="43" t="s">
        <v>23</v>
      </c>
      <c r="I1292" s="5" t="n">
        <v>-71.04</v>
      </c>
      <c r="J1292" s="10" t="s">
        <v>48</v>
      </c>
      <c r="K1292" s="0"/>
      <c r="L1292" s="0"/>
      <c r="U1292" s="0"/>
      <c r="V1292" s="0"/>
      <c r="W1292" s="0"/>
      <c r="X1292" s="0"/>
      <c r="Y1292" s="0"/>
    </row>
    <row r="1293" customFormat="false" ht="12.8" hidden="false" customHeight="false" outlineLevel="0" collapsed="false">
      <c r="G1293" s="25" t="n">
        <v>45013</v>
      </c>
      <c r="H1293" s="43" t="s">
        <v>23</v>
      </c>
      <c r="I1293" s="5" t="n">
        <v>-67.32</v>
      </c>
      <c r="J1293" s="10" t="s">
        <v>37</v>
      </c>
      <c r="K1293" s="0"/>
      <c r="L1293" s="0"/>
      <c r="U1293" s="0"/>
      <c r="V1293" s="0"/>
      <c r="W1293" s="0"/>
      <c r="X1293" s="0"/>
      <c r="Y1293" s="0"/>
    </row>
    <row r="1294" customFormat="false" ht="12.8" hidden="false" customHeight="false" outlineLevel="0" collapsed="false">
      <c r="G1294" s="25" t="n">
        <v>45014</v>
      </c>
      <c r="H1294" s="43" t="s">
        <v>23</v>
      </c>
      <c r="I1294" s="5" t="n">
        <v>-78.97</v>
      </c>
      <c r="J1294" s="10" t="s">
        <v>37</v>
      </c>
      <c r="K1294" s="0"/>
      <c r="L1294" s="0"/>
      <c r="U1294" s="0"/>
      <c r="V1294" s="0"/>
      <c r="W1294" s="0"/>
      <c r="X1294" s="0"/>
      <c r="Y1294" s="0"/>
    </row>
    <row r="1295" customFormat="false" ht="12.8" hidden="false" customHeight="false" outlineLevel="0" collapsed="false">
      <c r="G1295" s="25" t="n">
        <v>45014</v>
      </c>
      <c r="H1295" s="43" t="s">
        <v>23</v>
      </c>
      <c r="I1295" s="5" t="n">
        <v>-30</v>
      </c>
      <c r="J1295" s="0" t="s">
        <v>46</v>
      </c>
      <c r="K1295" s="0"/>
      <c r="L1295" s="0"/>
      <c r="U1295" s="0"/>
      <c r="V1295" s="0"/>
      <c r="W1295" s="0"/>
      <c r="X1295" s="0"/>
      <c r="Y1295" s="0"/>
    </row>
    <row r="1296" customFormat="false" ht="12.8" hidden="false" customHeight="false" outlineLevel="0" collapsed="false">
      <c r="G1296" s="25" t="n">
        <v>45015</v>
      </c>
      <c r="H1296" s="43" t="s">
        <v>23</v>
      </c>
      <c r="I1296" s="5" t="n">
        <v>-68.95</v>
      </c>
      <c r="J1296" s="10" t="s">
        <v>37</v>
      </c>
      <c r="K1296" s="0"/>
      <c r="L1296" s="0"/>
      <c r="U1296" s="0"/>
      <c r="V1296" s="0"/>
      <c r="W1296" s="0"/>
      <c r="X1296" s="0"/>
      <c r="Y1296" s="0"/>
    </row>
    <row r="1297" customFormat="false" ht="12.8" hidden="false" customHeight="false" outlineLevel="0" collapsed="false">
      <c r="G1297" s="25" t="n">
        <v>45015</v>
      </c>
      <c r="H1297" s="43" t="s">
        <v>23</v>
      </c>
      <c r="I1297" s="5" t="n">
        <v>250</v>
      </c>
      <c r="J1297" s="10" t="s">
        <v>42</v>
      </c>
      <c r="K1297" s="0"/>
      <c r="L1297" s="0"/>
      <c r="U1297" s="0"/>
      <c r="V1297" s="0"/>
      <c r="W1297" s="0"/>
      <c r="X1297" s="0"/>
      <c r="Y1297" s="0"/>
    </row>
    <row r="1298" customFormat="false" ht="12.8" hidden="false" customHeight="false" outlineLevel="0" collapsed="false">
      <c r="G1298" s="25" t="n">
        <v>45015</v>
      </c>
      <c r="H1298" s="43" t="s">
        <v>23</v>
      </c>
      <c r="I1298" s="5" t="n">
        <v>-5</v>
      </c>
      <c r="J1298" s="10" t="s">
        <v>43</v>
      </c>
      <c r="K1298" s="0"/>
      <c r="L1298" s="0"/>
      <c r="U1298" s="0"/>
      <c r="V1298" s="0"/>
      <c r="W1298" s="0"/>
      <c r="X1298" s="0"/>
      <c r="Y1298" s="0"/>
    </row>
    <row r="1299" customFormat="false" ht="12.8" hidden="false" customHeight="false" outlineLevel="0" collapsed="false">
      <c r="G1299" s="25" t="n">
        <v>45016</v>
      </c>
      <c r="H1299" s="43" t="s">
        <v>23</v>
      </c>
      <c r="I1299" s="5" t="n">
        <v>-5</v>
      </c>
      <c r="J1299" s="0" t="s">
        <v>130</v>
      </c>
      <c r="K1299" s="0"/>
      <c r="L1299" s="0"/>
      <c r="U1299" s="0"/>
      <c r="V1299" s="0"/>
      <c r="W1299" s="0"/>
      <c r="X1299" s="0"/>
      <c r="Y1299" s="0"/>
    </row>
    <row r="1300" customFormat="false" ht="12.8" hidden="false" customHeight="false" outlineLevel="0" collapsed="false">
      <c r="G1300" s="25" t="n">
        <v>45016</v>
      </c>
      <c r="H1300" s="43" t="s">
        <v>23</v>
      </c>
      <c r="I1300" s="5" t="n">
        <v>-67.46</v>
      </c>
      <c r="J1300" s="10" t="s">
        <v>37</v>
      </c>
      <c r="K1300" s="0"/>
      <c r="L1300" s="0"/>
      <c r="U1300" s="0"/>
      <c r="V1300" s="0"/>
      <c r="W1300" s="0"/>
      <c r="X1300" s="0"/>
      <c r="Y1300" s="0"/>
    </row>
    <row r="1301" customFormat="false" ht="12.8" hidden="false" customHeight="false" outlineLevel="0" collapsed="false">
      <c r="G1301" s="25" t="n">
        <v>45016</v>
      </c>
      <c r="H1301" s="43" t="s">
        <v>23</v>
      </c>
      <c r="I1301" s="5" t="n">
        <v>-154.99</v>
      </c>
      <c r="J1301" s="0" t="s">
        <v>131</v>
      </c>
      <c r="K1301" s="0"/>
      <c r="L1301" s="0"/>
      <c r="U1301" s="0"/>
      <c r="V1301" s="0"/>
      <c r="W1301" s="0"/>
      <c r="X1301" s="0"/>
      <c r="Y1301" s="0"/>
    </row>
    <row r="1302" customFormat="false" ht="12.8" hidden="false" customHeight="false" outlineLevel="0" collapsed="false">
      <c r="G1302" s="25" t="n">
        <v>45017</v>
      </c>
      <c r="H1302" s="48" t="s">
        <v>26</v>
      </c>
      <c r="I1302" s="5" t="n">
        <v>-5</v>
      </c>
      <c r="J1302" s="10" t="s">
        <v>61</v>
      </c>
      <c r="K1302" s="0"/>
      <c r="L1302" s="0"/>
      <c r="U1302" s="0"/>
      <c r="V1302" s="0"/>
      <c r="W1302" s="0"/>
      <c r="X1302" s="0"/>
      <c r="Y1302" s="0"/>
    </row>
    <row r="1303" customFormat="false" ht="12.8" hidden="false" customHeight="false" outlineLevel="0" collapsed="false">
      <c r="G1303" s="25" t="n">
        <v>45017</v>
      </c>
      <c r="H1303" s="43" t="s">
        <v>23</v>
      </c>
      <c r="I1303" s="5" t="n">
        <v>-72.18</v>
      </c>
      <c r="J1303" s="10" t="s">
        <v>37</v>
      </c>
      <c r="K1303" s="0"/>
      <c r="L1303" s="0"/>
      <c r="U1303" s="0"/>
      <c r="V1303" s="0"/>
      <c r="W1303" s="0"/>
      <c r="X1303" s="0"/>
      <c r="Y1303" s="0"/>
    </row>
    <row r="1304" customFormat="false" ht="12.8" hidden="false" customHeight="false" outlineLevel="0" collapsed="false">
      <c r="G1304" s="25" t="n">
        <v>45018</v>
      </c>
      <c r="H1304" s="43" t="s">
        <v>23</v>
      </c>
      <c r="I1304" s="5" t="n">
        <v>-72.59</v>
      </c>
      <c r="J1304" s="10" t="s">
        <v>37</v>
      </c>
      <c r="K1304" s="0"/>
      <c r="L1304" s="0"/>
      <c r="U1304" s="0"/>
      <c r="V1304" s="0"/>
      <c r="W1304" s="0"/>
      <c r="X1304" s="0"/>
      <c r="Y1304" s="0"/>
    </row>
    <row r="1305" customFormat="false" ht="12.8" hidden="false" customHeight="false" outlineLevel="0" collapsed="false">
      <c r="G1305" s="25" t="n">
        <v>45019</v>
      </c>
      <c r="H1305" s="48" t="s">
        <v>26</v>
      </c>
      <c r="I1305" s="5" t="n">
        <v>-10</v>
      </c>
      <c r="J1305" s="10" t="s">
        <v>130</v>
      </c>
      <c r="K1305" s="0"/>
      <c r="L1305" s="0"/>
      <c r="U1305" s="0"/>
      <c r="V1305" s="0"/>
      <c r="W1305" s="0"/>
      <c r="X1305" s="0"/>
      <c r="Y1305" s="0"/>
    </row>
    <row r="1306" customFormat="false" ht="12.8" hidden="false" customHeight="false" outlineLevel="0" collapsed="false">
      <c r="G1306" s="25" t="n">
        <v>45019</v>
      </c>
      <c r="H1306" s="52" t="s">
        <v>14</v>
      </c>
      <c r="I1306" s="5" t="n">
        <f aca="false">1750.55-1747.33</f>
        <v>3.22000000000003</v>
      </c>
      <c r="J1306" s="0" t="s">
        <v>40</v>
      </c>
      <c r="K1306" s="0"/>
      <c r="L1306" s="0"/>
      <c r="U1306" s="0"/>
      <c r="V1306" s="0"/>
      <c r="W1306" s="0"/>
      <c r="X1306" s="0"/>
      <c r="Y1306" s="0"/>
    </row>
    <row r="1307" customFormat="false" ht="12.8" hidden="false" customHeight="false" outlineLevel="0" collapsed="false">
      <c r="G1307" s="25" t="n">
        <v>45019</v>
      </c>
      <c r="H1307" s="52" t="s">
        <v>14</v>
      </c>
      <c r="I1307" s="5" t="n">
        <v>-2003</v>
      </c>
      <c r="J1307" s="10" t="s">
        <v>66</v>
      </c>
      <c r="K1307" s="0"/>
      <c r="L1307" s="0"/>
      <c r="U1307" s="0"/>
      <c r="V1307" s="0"/>
      <c r="W1307" s="0"/>
      <c r="X1307" s="0"/>
      <c r="Y1307" s="0"/>
    </row>
    <row r="1308" customFormat="false" ht="12.8" hidden="false" customHeight="false" outlineLevel="0" collapsed="false">
      <c r="G1308" s="25" t="n">
        <v>45019</v>
      </c>
      <c r="H1308" s="48" t="s">
        <v>26</v>
      </c>
      <c r="I1308" s="5" t="n">
        <v>2003</v>
      </c>
      <c r="J1308" s="10" t="s">
        <v>66</v>
      </c>
      <c r="K1308" s="5"/>
      <c r="L1308" s="0"/>
      <c r="U1308" s="0"/>
      <c r="V1308" s="0"/>
      <c r="W1308" s="0"/>
      <c r="X1308" s="0"/>
      <c r="Y1308" s="0"/>
    </row>
    <row r="1309" customFormat="false" ht="12.8" hidden="false" customHeight="false" outlineLevel="0" collapsed="false">
      <c r="G1309" s="25" t="n">
        <v>45019</v>
      </c>
      <c r="H1309" s="48" t="s">
        <v>26</v>
      </c>
      <c r="I1309" s="5" t="n">
        <v>-2000</v>
      </c>
      <c r="J1309" s="55" t="s">
        <v>68</v>
      </c>
      <c r="K1309" s="5"/>
      <c r="L1309" s="0"/>
      <c r="U1309" s="0"/>
      <c r="V1309" s="0"/>
      <c r="W1309" s="0"/>
      <c r="X1309" s="0"/>
      <c r="Y1309" s="0"/>
    </row>
    <row r="1310" customFormat="false" ht="12.8" hidden="false" customHeight="false" outlineLevel="0" collapsed="false">
      <c r="G1310" s="25" t="n">
        <v>45019</v>
      </c>
      <c r="H1310" s="48" t="s">
        <v>26</v>
      </c>
      <c r="I1310" s="5" t="n">
        <v>-3</v>
      </c>
      <c r="J1310" s="55" t="s">
        <v>92</v>
      </c>
      <c r="K1310" s="5"/>
      <c r="L1310" s="0"/>
      <c r="U1310" s="0"/>
      <c r="V1310" s="0"/>
      <c r="W1310" s="0"/>
      <c r="X1310" s="0"/>
      <c r="Y1310" s="0"/>
    </row>
    <row r="1311" customFormat="false" ht="12.8" hidden="false" customHeight="false" outlineLevel="0" collapsed="false">
      <c r="G1311" s="25" t="n">
        <v>45019</v>
      </c>
      <c r="H1311" s="26" t="s">
        <v>10</v>
      </c>
      <c r="I1311" s="5" t="n">
        <f aca="false">1.06</f>
        <v>1.06</v>
      </c>
      <c r="J1311" s="0" t="s">
        <v>40</v>
      </c>
      <c r="K1311" s="0"/>
      <c r="L1311" s="0"/>
      <c r="U1311" s="0"/>
      <c r="V1311" s="0"/>
      <c r="W1311" s="0"/>
      <c r="X1311" s="0"/>
      <c r="Y1311" s="0"/>
    </row>
    <row r="1312" customFormat="false" ht="12.8" hidden="false" customHeight="false" outlineLevel="0" collapsed="false">
      <c r="G1312" s="25" t="n">
        <v>45019</v>
      </c>
      <c r="H1312" s="32" t="s">
        <v>15</v>
      </c>
      <c r="I1312" s="5" t="n">
        <v>2000</v>
      </c>
      <c r="J1312" s="55" t="s">
        <v>38</v>
      </c>
      <c r="K1312" s="5"/>
      <c r="L1312" s="0"/>
      <c r="U1312" s="0"/>
      <c r="V1312" s="0"/>
      <c r="W1312" s="0"/>
      <c r="X1312" s="0"/>
      <c r="Y1312" s="0"/>
    </row>
    <row r="1313" customFormat="false" ht="12.8" hidden="false" customHeight="false" outlineLevel="0" collapsed="false">
      <c r="G1313" s="25" t="n">
        <v>45019</v>
      </c>
      <c r="H1313" s="32" t="s">
        <v>15</v>
      </c>
      <c r="I1313" s="5" t="n">
        <v>-2000</v>
      </c>
      <c r="J1313" s="0" t="s">
        <v>104</v>
      </c>
      <c r="K1313" s="5"/>
      <c r="L1313" s="0"/>
      <c r="U1313" s="0"/>
      <c r="V1313" s="0"/>
      <c r="W1313" s="0"/>
      <c r="X1313" s="0"/>
      <c r="Y1313" s="0"/>
    </row>
    <row r="1314" customFormat="false" ht="12.8" hidden="false" customHeight="false" outlineLevel="0" collapsed="false">
      <c r="G1314" s="25" t="n">
        <v>45019</v>
      </c>
      <c r="H1314" s="26" t="s">
        <v>10</v>
      </c>
      <c r="I1314" s="5" t="n">
        <v>2000</v>
      </c>
      <c r="J1314" s="0" t="s">
        <v>104</v>
      </c>
      <c r="K1314" s="5"/>
      <c r="L1314" s="0"/>
      <c r="U1314" s="0"/>
      <c r="V1314" s="0"/>
      <c r="W1314" s="0"/>
      <c r="X1314" s="0"/>
      <c r="Y1314" s="0"/>
    </row>
    <row r="1315" customFormat="false" ht="12.8" hidden="false" customHeight="false" outlineLevel="0" collapsed="false">
      <c r="G1315" s="25" t="n">
        <v>45019</v>
      </c>
      <c r="H1315" s="43" t="s">
        <v>23</v>
      </c>
      <c r="I1315" s="5" t="n">
        <v>-60.06</v>
      </c>
      <c r="J1315" s="10" t="s">
        <v>37</v>
      </c>
      <c r="K1315" s="0"/>
      <c r="L1315" s="0"/>
      <c r="U1315" s="0"/>
      <c r="V1315" s="0"/>
      <c r="W1315" s="0"/>
      <c r="X1315" s="0"/>
      <c r="Y1315" s="0"/>
    </row>
    <row r="1316" customFormat="false" ht="12.8" hidden="false" customHeight="false" outlineLevel="0" collapsed="false">
      <c r="G1316" s="25" t="n">
        <v>45020</v>
      </c>
      <c r="H1316" s="26" t="s">
        <v>10</v>
      </c>
      <c r="I1316" s="5" t="n">
        <v>-1350</v>
      </c>
      <c r="J1316" s="54" t="s">
        <v>38</v>
      </c>
      <c r="K1316" s="0"/>
      <c r="L1316" s="0"/>
      <c r="U1316" s="0"/>
      <c r="V1316" s="0"/>
      <c r="W1316" s="0"/>
      <c r="X1316" s="0"/>
      <c r="Y1316" s="0"/>
    </row>
    <row r="1317" customFormat="false" ht="12.8" hidden="false" customHeight="false" outlineLevel="0" collapsed="false">
      <c r="G1317" s="25" t="n">
        <v>45020</v>
      </c>
      <c r="H1317" s="32" t="s">
        <v>15</v>
      </c>
      <c r="I1317" s="5" t="n">
        <v>1350</v>
      </c>
      <c r="J1317" s="54" t="s">
        <v>38</v>
      </c>
      <c r="K1317" s="0"/>
      <c r="L1317" s="0"/>
      <c r="U1317" s="0"/>
      <c r="V1317" s="0"/>
      <c r="W1317" s="0"/>
      <c r="X1317" s="0"/>
      <c r="Y1317" s="0"/>
    </row>
    <row r="1318" customFormat="false" ht="12.8" hidden="false" customHeight="false" outlineLevel="0" collapsed="false">
      <c r="G1318" s="25" t="n">
        <v>45020</v>
      </c>
      <c r="H1318" s="32" t="s">
        <v>15</v>
      </c>
      <c r="I1318" s="5" t="n">
        <v>-1350</v>
      </c>
      <c r="J1318" s="54" t="s">
        <v>104</v>
      </c>
      <c r="K1318" s="0"/>
      <c r="L1318" s="0"/>
      <c r="U1318" s="0"/>
      <c r="V1318" s="0"/>
      <c r="W1318" s="0"/>
      <c r="X1318" s="0"/>
      <c r="Y1318" s="0"/>
    </row>
    <row r="1319" customFormat="false" ht="12.8" hidden="false" customHeight="false" outlineLevel="0" collapsed="false">
      <c r="G1319" s="25" t="n">
        <v>45020</v>
      </c>
      <c r="H1319" s="48" t="s">
        <v>26</v>
      </c>
      <c r="I1319" s="5" t="n">
        <v>1350</v>
      </c>
      <c r="J1319" s="55" t="s">
        <v>104</v>
      </c>
      <c r="K1319" s="0"/>
      <c r="L1319" s="0"/>
      <c r="U1319" s="0"/>
      <c r="V1319" s="0"/>
      <c r="W1319" s="0"/>
      <c r="X1319" s="0"/>
      <c r="Y1319" s="0"/>
    </row>
    <row r="1320" customFormat="false" ht="12.8" hidden="false" customHeight="false" outlineLevel="0" collapsed="false">
      <c r="G1320" s="25" t="n">
        <v>45020</v>
      </c>
      <c r="H1320" s="52" t="s">
        <v>14</v>
      </c>
      <c r="I1320" s="5" t="n">
        <f aca="false">1750.77-1750.55</f>
        <v>0.220000000000027</v>
      </c>
      <c r="J1320" s="0" t="s">
        <v>40</v>
      </c>
      <c r="K1320" s="0"/>
      <c r="L1320" s="0"/>
      <c r="U1320" s="0"/>
      <c r="V1320" s="0"/>
      <c r="W1320" s="0"/>
      <c r="X1320" s="0"/>
      <c r="Y1320" s="0"/>
    </row>
    <row r="1321" customFormat="false" ht="12.8" hidden="false" customHeight="false" outlineLevel="0" collapsed="false">
      <c r="G1321" s="25" t="n">
        <v>45020</v>
      </c>
      <c r="H1321" s="43" t="s">
        <v>23</v>
      </c>
      <c r="I1321" s="5" t="n">
        <f aca="false">-11.39-54.84</f>
        <v>-66.23</v>
      </c>
      <c r="J1321" s="10" t="s">
        <v>37</v>
      </c>
      <c r="K1321" s="0"/>
      <c r="L1321" s="0"/>
      <c r="U1321" s="0"/>
      <c r="V1321" s="0"/>
      <c r="W1321" s="0"/>
      <c r="X1321" s="0"/>
      <c r="Y1321" s="0"/>
    </row>
    <row r="1322" customFormat="false" ht="12.8" hidden="false" customHeight="false" outlineLevel="0" collapsed="false">
      <c r="G1322" s="25" t="n">
        <v>45020</v>
      </c>
      <c r="H1322" s="48" t="s">
        <v>26</v>
      </c>
      <c r="I1322" s="5" t="n">
        <v>-1350</v>
      </c>
      <c r="J1322" s="55" t="s">
        <v>104</v>
      </c>
      <c r="K1322" s="0"/>
      <c r="L1322" s="0"/>
      <c r="U1322" s="0"/>
      <c r="V1322" s="0"/>
      <c r="W1322" s="0"/>
      <c r="X1322" s="0"/>
      <c r="Y1322" s="0"/>
    </row>
    <row r="1323" customFormat="false" ht="12.8" hidden="false" customHeight="false" outlineLevel="0" collapsed="false">
      <c r="G1323" s="25" t="n">
        <v>45020</v>
      </c>
      <c r="H1323" s="52" t="s">
        <v>14</v>
      </c>
      <c r="I1323" s="5" t="n">
        <v>1350</v>
      </c>
      <c r="J1323" s="55" t="s">
        <v>104</v>
      </c>
      <c r="K1323" s="0"/>
      <c r="L1323" s="0"/>
      <c r="U1323" s="0"/>
      <c r="V1323" s="0"/>
      <c r="W1323" s="0"/>
      <c r="X1323" s="0"/>
      <c r="Y1323" s="0"/>
    </row>
    <row r="1324" customFormat="false" ht="12.8" hidden="false" customHeight="false" outlineLevel="0" collapsed="false">
      <c r="G1324" s="25" t="n">
        <v>45021</v>
      </c>
      <c r="H1324" s="43" t="s">
        <v>23</v>
      </c>
      <c r="I1324" s="5" t="n">
        <v>-66.52</v>
      </c>
      <c r="J1324" s="10" t="s">
        <v>37</v>
      </c>
      <c r="K1324" s="0"/>
      <c r="L1324" s="0"/>
      <c r="U1324" s="0"/>
      <c r="V1324" s="0"/>
      <c r="W1324" s="0"/>
      <c r="X1324" s="0"/>
      <c r="Y1324" s="0"/>
    </row>
    <row r="1325" customFormat="false" ht="12.8" hidden="false" customHeight="false" outlineLevel="0" collapsed="false">
      <c r="G1325" s="25" t="n">
        <v>45022</v>
      </c>
      <c r="H1325" s="26" t="s">
        <v>10</v>
      </c>
      <c r="I1325" s="5" t="n">
        <f aca="false">-41.06</f>
        <v>-41.06</v>
      </c>
      <c r="J1325" s="54" t="s">
        <v>38</v>
      </c>
      <c r="K1325" s="0"/>
      <c r="L1325" s="0"/>
      <c r="U1325" s="0"/>
      <c r="V1325" s="0"/>
      <c r="W1325" s="0"/>
      <c r="X1325" s="0"/>
      <c r="Y1325" s="0"/>
    </row>
    <row r="1326" customFormat="false" ht="12.8" hidden="false" customHeight="false" outlineLevel="0" collapsed="false">
      <c r="G1326" s="25" t="n">
        <v>45022</v>
      </c>
      <c r="H1326" s="32" t="s">
        <v>15</v>
      </c>
      <c r="I1326" s="5" t="n">
        <v>41.06</v>
      </c>
      <c r="J1326" s="54" t="s">
        <v>38</v>
      </c>
      <c r="K1326" s="0"/>
      <c r="L1326" s="0"/>
      <c r="U1326" s="0"/>
      <c r="V1326" s="0"/>
      <c r="W1326" s="0"/>
      <c r="X1326" s="0"/>
      <c r="Y1326" s="0"/>
    </row>
    <row r="1327" customFormat="false" ht="12.8" hidden="false" customHeight="false" outlineLevel="0" collapsed="false">
      <c r="G1327" s="25" t="n">
        <v>45022</v>
      </c>
      <c r="H1327" s="32" t="s">
        <v>15</v>
      </c>
      <c r="I1327" s="5" t="n">
        <v>-38.36</v>
      </c>
      <c r="J1327" s="54" t="s">
        <v>37</v>
      </c>
      <c r="K1327" s="0"/>
      <c r="L1327" s="0"/>
      <c r="U1327" s="0"/>
      <c r="V1327" s="0"/>
      <c r="W1327" s="0"/>
      <c r="X1327" s="0"/>
      <c r="Y1327" s="0"/>
    </row>
    <row r="1328" customFormat="false" ht="12.8" hidden="false" customHeight="false" outlineLevel="0" collapsed="false">
      <c r="G1328" s="25" t="n">
        <v>45023</v>
      </c>
      <c r="H1328" s="43" t="s">
        <v>23</v>
      </c>
      <c r="I1328" s="5" t="n">
        <v>-64.45</v>
      </c>
      <c r="J1328" s="10" t="s">
        <v>37</v>
      </c>
      <c r="K1328" s="0"/>
      <c r="L1328" s="0"/>
      <c r="U1328" s="0"/>
      <c r="V1328" s="0"/>
      <c r="W1328" s="0"/>
      <c r="X1328" s="0"/>
      <c r="Y1328" s="0"/>
    </row>
    <row r="1329" customFormat="false" ht="12.8" hidden="false" customHeight="false" outlineLevel="0" collapsed="false">
      <c r="G1329" s="25" t="n">
        <v>45024</v>
      </c>
      <c r="H1329" s="43" t="s">
        <v>23</v>
      </c>
      <c r="I1329" s="5" t="n">
        <v>-58.86</v>
      </c>
      <c r="J1329" s="10" t="s">
        <v>37</v>
      </c>
      <c r="K1329" s="0"/>
      <c r="L1329" s="0"/>
      <c r="U1329" s="0"/>
      <c r="V1329" s="0"/>
      <c r="W1329" s="0"/>
      <c r="X1329" s="0"/>
      <c r="Y1329" s="0"/>
    </row>
    <row r="1330" customFormat="false" ht="12.8" hidden="false" customHeight="false" outlineLevel="0" collapsed="false">
      <c r="G1330" s="25" t="n">
        <v>45024</v>
      </c>
      <c r="H1330" s="43" t="s">
        <v>23</v>
      </c>
      <c r="I1330" s="5" t="n">
        <v>-20.71</v>
      </c>
      <c r="J1330" s="10" t="s">
        <v>37</v>
      </c>
      <c r="K1330" s="0"/>
      <c r="L1330" s="0"/>
      <c r="U1330" s="0"/>
      <c r="V1330" s="0"/>
      <c r="W1330" s="0"/>
      <c r="X1330" s="0"/>
      <c r="Y1330" s="0"/>
    </row>
    <row r="1331" customFormat="false" ht="12.8" hidden="false" customHeight="false" outlineLevel="0" collapsed="false">
      <c r="G1331" s="25" t="n">
        <v>45025</v>
      </c>
      <c r="H1331" s="26" t="s">
        <v>10</v>
      </c>
      <c r="I1331" s="5" t="n">
        <v>-70</v>
      </c>
      <c r="J1331" s="54" t="s">
        <v>38</v>
      </c>
      <c r="K1331" s="0"/>
      <c r="L1331" s="0"/>
      <c r="U1331" s="0"/>
      <c r="V1331" s="0"/>
      <c r="W1331" s="0"/>
      <c r="X1331" s="0"/>
      <c r="Y1331" s="0"/>
    </row>
    <row r="1332" customFormat="false" ht="12.8" hidden="false" customHeight="false" outlineLevel="0" collapsed="false">
      <c r="G1332" s="25" t="n">
        <v>45025</v>
      </c>
      <c r="H1332" s="32" t="s">
        <v>15</v>
      </c>
      <c r="I1332" s="5" t="n">
        <v>70</v>
      </c>
      <c r="J1332" s="54" t="s">
        <v>38</v>
      </c>
      <c r="K1332" s="0"/>
      <c r="L1332" s="0"/>
      <c r="U1332" s="0"/>
      <c r="V1332" s="0"/>
      <c r="W1332" s="0"/>
      <c r="X1332" s="0"/>
      <c r="Y1332" s="0"/>
    </row>
    <row r="1333" customFormat="false" ht="12.8" hidden="false" customHeight="false" outlineLevel="0" collapsed="false">
      <c r="G1333" s="25" t="n">
        <v>45025</v>
      </c>
      <c r="H1333" s="32" t="s">
        <v>15</v>
      </c>
      <c r="I1333" s="5" t="n">
        <v>-61.16</v>
      </c>
      <c r="J1333" s="54" t="s">
        <v>37</v>
      </c>
      <c r="K1333" s="0"/>
      <c r="L1333" s="0"/>
      <c r="U1333" s="0"/>
      <c r="V1333" s="0"/>
      <c r="W1333" s="0"/>
      <c r="X1333" s="0"/>
      <c r="Y1333" s="0"/>
    </row>
    <row r="1334" customFormat="false" ht="12.8" hidden="false" customHeight="false" outlineLevel="0" collapsed="false">
      <c r="G1334" s="25" t="n">
        <v>45026</v>
      </c>
      <c r="H1334" s="26" t="s">
        <v>10</v>
      </c>
      <c r="I1334" s="5" t="n">
        <v>-59</v>
      </c>
      <c r="J1334" s="54" t="s">
        <v>38</v>
      </c>
      <c r="K1334" s="0"/>
      <c r="L1334" s="0"/>
      <c r="U1334" s="0"/>
      <c r="V1334" s="0"/>
      <c r="W1334" s="0"/>
      <c r="X1334" s="0"/>
      <c r="Y1334" s="0"/>
    </row>
    <row r="1335" customFormat="false" ht="12.8" hidden="false" customHeight="false" outlineLevel="0" collapsed="false">
      <c r="G1335" s="25" t="n">
        <v>45026</v>
      </c>
      <c r="H1335" s="32" t="s">
        <v>15</v>
      </c>
      <c r="I1335" s="5" t="n">
        <v>59</v>
      </c>
      <c r="J1335" s="54" t="s">
        <v>38</v>
      </c>
      <c r="K1335" s="0"/>
      <c r="L1335" s="0"/>
      <c r="U1335" s="0"/>
      <c r="V1335" s="0"/>
      <c r="W1335" s="0"/>
      <c r="X1335" s="0"/>
      <c r="Y1335" s="0"/>
    </row>
    <row r="1336" customFormat="false" ht="12.8" hidden="false" customHeight="false" outlineLevel="0" collapsed="false">
      <c r="G1336" s="25" t="n">
        <v>45026</v>
      </c>
      <c r="H1336" s="32" t="s">
        <v>15</v>
      </c>
      <c r="I1336" s="5" t="n">
        <v>-58.46</v>
      </c>
      <c r="J1336" s="54" t="s">
        <v>37</v>
      </c>
      <c r="K1336" s="0"/>
      <c r="L1336" s="0"/>
      <c r="U1336" s="0"/>
      <c r="V1336" s="0"/>
      <c r="W1336" s="0"/>
      <c r="X1336" s="0"/>
      <c r="Y1336" s="0"/>
    </row>
    <row r="1337" customFormat="false" ht="12.8" hidden="false" customHeight="false" outlineLevel="0" collapsed="false">
      <c r="G1337" s="25" t="n">
        <v>45026</v>
      </c>
      <c r="H1337" s="26" t="s">
        <v>10</v>
      </c>
      <c r="I1337" s="5" t="n">
        <v>-30</v>
      </c>
      <c r="J1337" s="54" t="s">
        <v>38</v>
      </c>
      <c r="K1337" s="0"/>
      <c r="L1337" s="0"/>
      <c r="U1337" s="0"/>
      <c r="V1337" s="0"/>
      <c r="W1337" s="0"/>
      <c r="X1337" s="0"/>
      <c r="Y1337" s="0"/>
    </row>
    <row r="1338" customFormat="false" ht="12.8" hidden="false" customHeight="false" outlineLevel="0" collapsed="false">
      <c r="G1338" s="25" t="n">
        <v>45026</v>
      </c>
      <c r="H1338" s="32" t="s">
        <v>15</v>
      </c>
      <c r="I1338" s="5" t="n">
        <v>30</v>
      </c>
      <c r="J1338" s="54" t="s">
        <v>38</v>
      </c>
      <c r="K1338" s="0"/>
      <c r="L1338" s="0"/>
      <c r="U1338" s="0"/>
      <c r="V1338" s="0"/>
      <c r="W1338" s="0"/>
      <c r="X1338" s="0"/>
      <c r="Y1338" s="0"/>
    </row>
    <row r="1339" customFormat="false" ht="12.8" hidden="false" customHeight="false" outlineLevel="0" collapsed="false">
      <c r="G1339" s="25" t="n">
        <v>45026</v>
      </c>
      <c r="H1339" s="32" t="s">
        <v>15</v>
      </c>
      <c r="I1339" s="5" t="n">
        <v>-38.95</v>
      </c>
      <c r="J1339" s="54" t="s">
        <v>37</v>
      </c>
      <c r="K1339" s="0"/>
      <c r="L1339" s="0"/>
      <c r="U1339" s="0"/>
      <c r="V1339" s="0"/>
      <c r="W1339" s="0"/>
      <c r="X1339" s="0"/>
      <c r="Y1339" s="0"/>
    </row>
    <row r="1340" customFormat="false" ht="12.8" hidden="false" customHeight="false" outlineLevel="0" collapsed="false">
      <c r="G1340" s="25" t="n">
        <v>45026</v>
      </c>
      <c r="H1340" s="38" t="s">
        <v>21</v>
      </c>
      <c r="I1340" s="5" t="n">
        <v>-0.39</v>
      </c>
      <c r="J1340" s="55" t="s">
        <v>132</v>
      </c>
      <c r="K1340" s="0"/>
      <c r="L1340" s="0"/>
      <c r="U1340" s="0"/>
      <c r="V1340" s="0"/>
      <c r="W1340" s="0"/>
      <c r="X1340" s="0"/>
      <c r="Y1340" s="0"/>
    </row>
    <row r="1341" customFormat="false" ht="12.8" hidden="false" customHeight="false" outlineLevel="0" collapsed="false">
      <c r="G1341" s="25" t="n">
        <v>45026</v>
      </c>
      <c r="H1341" s="43" t="s">
        <v>23</v>
      </c>
      <c r="I1341" s="5" t="n">
        <v>0.39</v>
      </c>
      <c r="J1341" s="0" t="s">
        <v>132</v>
      </c>
      <c r="K1341" s="0"/>
      <c r="L1341" s="0"/>
      <c r="U1341" s="0"/>
      <c r="V1341" s="0"/>
      <c r="W1341" s="0"/>
      <c r="X1341" s="0"/>
      <c r="Y1341" s="0"/>
    </row>
    <row r="1342" customFormat="false" ht="12.8" hidden="false" customHeight="false" outlineLevel="0" collapsed="false">
      <c r="G1342" s="25" t="n">
        <v>45027</v>
      </c>
      <c r="H1342" s="26" t="s">
        <v>10</v>
      </c>
      <c r="I1342" s="5" t="n">
        <v>-67</v>
      </c>
      <c r="J1342" s="54" t="s">
        <v>38</v>
      </c>
      <c r="K1342" s="0"/>
      <c r="L1342" s="0"/>
      <c r="U1342" s="0"/>
      <c r="V1342" s="0"/>
      <c r="W1342" s="0"/>
      <c r="X1342" s="0"/>
      <c r="Y1342" s="0"/>
    </row>
    <row r="1343" customFormat="false" ht="12.8" hidden="false" customHeight="false" outlineLevel="0" collapsed="false">
      <c r="G1343" s="25" t="n">
        <v>45027</v>
      </c>
      <c r="H1343" s="32" t="s">
        <v>15</v>
      </c>
      <c r="I1343" s="5" t="n">
        <v>67</v>
      </c>
      <c r="J1343" s="54" t="s">
        <v>38</v>
      </c>
      <c r="K1343" s="0"/>
      <c r="L1343" s="0"/>
      <c r="U1343" s="0"/>
      <c r="V1343" s="0"/>
      <c r="W1343" s="0"/>
      <c r="X1343" s="0"/>
      <c r="Y1343" s="0"/>
    </row>
    <row r="1344" customFormat="false" ht="12.8" hidden="false" customHeight="false" outlineLevel="0" collapsed="false">
      <c r="G1344" s="25" t="n">
        <v>45027</v>
      </c>
      <c r="H1344" s="32" t="s">
        <v>15</v>
      </c>
      <c r="I1344" s="5" t="n">
        <v>-66.34</v>
      </c>
      <c r="J1344" s="54" t="s">
        <v>37</v>
      </c>
      <c r="K1344" s="0"/>
      <c r="L1344" s="0"/>
      <c r="U1344" s="0"/>
      <c r="V1344" s="0"/>
      <c r="W1344" s="0"/>
      <c r="X1344" s="0"/>
      <c r="Y1344" s="0"/>
    </row>
    <row r="1345" customFormat="false" ht="12.8" hidden="false" customHeight="false" outlineLevel="0" collapsed="false">
      <c r="G1345" s="25" t="n">
        <v>45028</v>
      </c>
      <c r="H1345" s="26" t="s">
        <v>10</v>
      </c>
      <c r="I1345" s="5" t="n">
        <v>-41</v>
      </c>
      <c r="J1345" s="54" t="s">
        <v>38</v>
      </c>
      <c r="K1345" s="0"/>
      <c r="L1345" s="0"/>
      <c r="U1345" s="0"/>
      <c r="V1345" s="0"/>
      <c r="W1345" s="0"/>
      <c r="X1345" s="0"/>
      <c r="Y1345" s="0"/>
    </row>
    <row r="1346" customFormat="false" ht="12.8" hidden="false" customHeight="false" outlineLevel="0" collapsed="false">
      <c r="G1346" s="25" t="n">
        <v>45028</v>
      </c>
      <c r="H1346" s="32" t="s">
        <v>15</v>
      </c>
      <c r="I1346" s="5" t="n">
        <v>41</v>
      </c>
      <c r="J1346" s="54" t="s">
        <v>38</v>
      </c>
      <c r="K1346" s="0"/>
      <c r="L1346" s="0"/>
      <c r="U1346" s="0"/>
      <c r="V1346" s="0"/>
      <c r="W1346" s="0"/>
      <c r="X1346" s="0"/>
      <c r="Y1346" s="0"/>
    </row>
    <row r="1347" customFormat="false" ht="12.8" hidden="false" customHeight="false" outlineLevel="0" collapsed="false">
      <c r="G1347" s="25" t="n">
        <v>45028</v>
      </c>
      <c r="H1347" s="32" t="s">
        <v>15</v>
      </c>
      <c r="I1347" s="5" t="n">
        <f aca="false">-23-20</f>
        <v>-43</v>
      </c>
      <c r="J1347" s="54" t="s">
        <v>37</v>
      </c>
      <c r="K1347" s="0"/>
      <c r="L1347" s="0"/>
      <c r="U1347" s="0"/>
      <c r="V1347" s="0"/>
      <c r="W1347" s="0"/>
      <c r="X1347" s="0"/>
      <c r="Y1347" s="0"/>
    </row>
    <row r="1348" customFormat="false" ht="12.8" hidden="false" customHeight="false" outlineLevel="0" collapsed="false">
      <c r="G1348" s="25" t="n">
        <v>45028</v>
      </c>
      <c r="H1348" s="43" t="s">
        <v>23</v>
      </c>
      <c r="I1348" s="5" t="n">
        <f aca="false">1898</f>
        <v>1898</v>
      </c>
      <c r="J1348" s="10" t="s">
        <v>42</v>
      </c>
      <c r="K1348" s="0"/>
      <c r="L1348" s="0"/>
      <c r="U1348" s="0"/>
      <c r="V1348" s="0"/>
      <c r="W1348" s="0"/>
      <c r="X1348" s="0"/>
      <c r="Y1348" s="0"/>
    </row>
    <row r="1349" customFormat="false" ht="12.8" hidden="false" customHeight="false" outlineLevel="0" collapsed="false">
      <c r="G1349" s="25" t="n">
        <v>45028</v>
      </c>
      <c r="H1349" s="43" t="s">
        <v>23</v>
      </c>
      <c r="I1349" s="5" t="n">
        <v>-5</v>
      </c>
      <c r="J1349" s="10" t="s">
        <v>43</v>
      </c>
      <c r="K1349" s="0"/>
      <c r="L1349" s="0"/>
      <c r="U1349" s="0"/>
      <c r="V1349" s="0"/>
      <c r="W1349" s="0"/>
      <c r="X1349" s="0"/>
      <c r="Y1349" s="0"/>
    </row>
    <row r="1350" customFormat="false" ht="12.8" hidden="false" customHeight="false" outlineLevel="0" collapsed="false">
      <c r="G1350" s="25" t="n">
        <v>45028</v>
      </c>
      <c r="H1350" s="26" t="s">
        <v>10</v>
      </c>
      <c r="I1350" s="5" t="n">
        <v>-202</v>
      </c>
      <c r="J1350" s="54" t="s">
        <v>38</v>
      </c>
      <c r="K1350" s="0"/>
      <c r="L1350" s="0"/>
      <c r="U1350" s="0"/>
      <c r="V1350" s="0"/>
      <c r="W1350" s="0"/>
      <c r="X1350" s="0"/>
      <c r="Y1350" s="0"/>
    </row>
    <row r="1351" customFormat="false" ht="12.8" hidden="false" customHeight="false" outlineLevel="0" collapsed="false">
      <c r="G1351" s="25" t="n">
        <v>45028</v>
      </c>
      <c r="H1351" s="32" t="s">
        <v>15</v>
      </c>
      <c r="I1351" s="5" t="n">
        <v>202</v>
      </c>
      <c r="J1351" s="54" t="s">
        <v>38</v>
      </c>
      <c r="K1351" s="0"/>
      <c r="L1351" s="0"/>
      <c r="U1351" s="0"/>
      <c r="V1351" s="0"/>
      <c r="W1351" s="0"/>
      <c r="X1351" s="0"/>
      <c r="Y1351" s="0"/>
    </row>
    <row r="1352" customFormat="false" ht="12.8" hidden="false" customHeight="false" outlineLevel="0" collapsed="false">
      <c r="G1352" s="25" t="n">
        <v>45028</v>
      </c>
      <c r="H1352" s="32" t="s">
        <v>15</v>
      </c>
      <c r="I1352" s="5" t="n">
        <v>-204</v>
      </c>
      <c r="J1352" s="54" t="s">
        <v>37</v>
      </c>
      <c r="K1352" s="0"/>
      <c r="L1352" s="0"/>
      <c r="U1352" s="0"/>
      <c r="V1352" s="0"/>
      <c r="W1352" s="0"/>
      <c r="X1352" s="0"/>
      <c r="Y1352" s="0"/>
    </row>
    <row r="1353" customFormat="false" ht="12.8" hidden="false" customHeight="false" outlineLevel="0" collapsed="false">
      <c r="G1353" s="25" t="n">
        <v>45028</v>
      </c>
      <c r="H1353" s="48" t="s">
        <v>26</v>
      </c>
      <c r="I1353" s="5" t="n">
        <v>204</v>
      </c>
      <c r="J1353" s="0" t="s">
        <v>133</v>
      </c>
      <c r="K1353" s="0"/>
      <c r="L1353" s="0"/>
      <c r="U1353" s="0"/>
      <c r="V1353" s="0"/>
      <c r="W1353" s="0"/>
      <c r="X1353" s="0"/>
      <c r="Y1353" s="0"/>
    </row>
    <row r="1354" customFormat="false" ht="12.8" hidden="false" customHeight="false" outlineLevel="0" collapsed="false">
      <c r="G1354" s="25" t="n">
        <v>45028</v>
      </c>
      <c r="H1354" s="48" t="s">
        <v>26</v>
      </c>
      <c r="I1354" s="5" t="n">
        <v>-204</v>
      </c>
      <c r="J1354" s="0" t="s">
        <v>104</v>
      </c>
      <c r="K1354" s="0"/>
      <c r="L1354" s="0"/>
      <c r="U1354" s="0"/>
      <c r="V1354" s="0"/>
      <c r="W1354" s="0"/>
      <c r="X1354" s="0"/>
      <c r="Y1354" s="0"/>
    </row>
    <row r="1355" customFormat="false" ht="12.8" hidden="false" customHeight="false" outlineLevel="0" collapsed="false">
      <c r="G1355" s="25" t="n">
        <v>45028</v>
      </c>
      <c r="H1355" s="52" t="s">
        <v>14</v>
      </c>
      <c r="I1355" s="5" t="n">
        <v>204</v>
      </c>
      <c r="J1355" s="0" t="s">
        <v>104</v>
      </c>
      <c r="K1355" s="0"/>
      <c r="L1355" s="0"/>
      <c r="U1355" s="0"/>
      <c r="V1355" s="0"/>
      <c r="W1355" s="0"/>
      <c r="X1355" s="0"/>
      <c r="Y1355" s="0"/>
    </row>
    <row r="1356" customFormat="false" ht="12.8" hidden="false" customHeight="false" outlineLevel="0" collapsed="false">
      <c r="G1356" s="25" t="n">
        <v>45028</v>
      </c>
      <c r="H1356" s="52" t="s">
        <v>14</v>
      </c>
      <c r="I1356" s="5" t="n">
        <f aca="false">3307.84-3304.77</f>
        <v>3.07000000000016</v>
      </c>
      <c r="J1356" s="0" t="s">
        <v>40</v>
      </c>
      <c r="K1356" s="0"/>
      <c r="L1356" s="0"/>
      <c r="U1356" s="0"/>
      <c r="V1356" s="0"/>
      <c r="W1356" s="0"/>
      <c r="X1356" s="0"/>
      <c r="Y1356" s="0"/>
    </row>
    <row r="1357" customFormat="false" ht="12.8" hidden="false" customHeight="false" outlineLevel="0" collapsed="false">
      <c r="G1357" s="25" t="n">
        <v>45029</v>
      </c>
      <c r="H1357" s="43" t="s">
        <v>23</v>
      </c>
      <c r="I1357" s="5" t="n">
        <v>-40</v>
      </c>
      <c r="J1357" s="54" t="s">
        <v>37</v>
      </c>
      <c r="K1357" s="0"/>
      <c r="L1357" s="0"/>
      <c r="U1357" s="0"/>
      <c r="V1357" s="0"/>
      <c r="W1357" s="0"/>
      <c r="X1357" s="0"/>
      <c r="Y1357" s="0"/>
    </row>
    <row r="1358" customFormat="false" ht="12.8" hidden="false" customHeight="false" outlineLevel="0" collapsed="false">
      <c r="G1358" s="25" t="n">
        <v>45029</v>
      </c>
      <c r="H1358" s="43" t="s">
        <v>23</v>
      </c>
      <c r="I1358" s="5" t="n">
        <v>-14</v>
      </c>
      <c r="J1358" s="54" t="s">
        <v>134</v>
      </c>
      <c r="K1358" s="0"/>
      <c r="L1358" s="0"/>
      <c r="U1358" s="0"/>
      <c r="V1358" s="0"/>
      <c r="W1358" s="0"/>
      <c r="X1358" s="0"/>
      <c r="Y1358" s="0"/>
    </row>
    <row r="1359" customFormat="false" ht="12.8" hidden="false" customHeight="false" outlineLevel="0" collapsed="false">
      <c r="G1359" s="25" t="n">
        <v>45030</v>
      </c>
      <c r="H1359" s="43" t="s">
        <v>23</v>
      </c>
      <c r="I1359" s="5" t="n">
        <f aca="false">-(23.49+14)</f>
        <v>-37.49</v>
      </c>
      <c r="J1359" s="54" t="s">
        <v>37</v>
      </c>
      <c r="K1359" s="0"/>
      <c r="L1359" s="0"/>
      <c r="U1359" s="0"/>
      <c r="V1359" s="0"/>
      <c r="W1359" s="0"/>
      <c r="X1359" s="0"/>
      <c r="Y1359" s="0"/>
    </row>
    <row r="1360" customFormat="false" ht="12.8" hidden="false" customHeight="false" outlineLevel="0" collapsed="false">
      <c r="G1360" s="25" t="n">
        <v>45031</v>
      </c>
      <c r="H1360" s="43" t="s">
        <v>23</v>
      </c>
      <c r="I1360" s="5" t="n">
        <f aca="false">-40-21</f>
        <v>-61</v>
      </c>
      <c r="J1360" s="54" t="s">
        <v>37</v>
      </c>
      <c r="K1360" s="0"/>
      <c r="L1360" s="0"/>
      <c r="U1360" s="0"/>
      <c r="V1360" s="0"/>
      <c r="W1360" s="0"/>
      <c r="X1360" s="0"/>
      <c r="Y1360" s="0"/>
    </row>
    <row r="1361" customFormat="false" ht="12.8" hidden="false" customHeight="false" outlineLevel="0" collapsed="false">
      <c r="G1361" s="25" t="n">
        <v>45032</v>
      </c>
      <c r="H1361" s="43" t="s">
        <v>23</v>
      </c>
      <c r="I1361" s="5" t="n">
        <v>0</v>
      </c>
      <c r="J1361" s="54" t="s">
        <v>37</v>
      </c>
      <c r="K1361" s="0"/>
      <c r="L1361" s="0"/>
      <c r="U1361" s="0"/>
      <c r="V1361" s="0"/>
      <c r="W1361" s="0"/>
      <c r="X1361" s="0"/>
      <c r="Y1361" s="0"/>
    </row>
    <row r="1362" customFormat="false" ht="12.8" hidden="false" customHeight="false" outlineLevel="0" collapsed="false">
      <c r="G1362" s="25" t="n">
        <v>45034</v>
      </c>
      <c r="H1362" s="43" t="s">
        <v>23</v>
      </c>
      <c r="I1362" s="5" t="n">
        <f aca="false">-40-21</f>
        <v>-61</v>
      </c>
      <c r="J1362" s="54" t="s">
        <v>37</v>
      </c>
      <c r="K1362" s="0"/>
      <c r="L1362" s="0"/>
      <c r="U1362" s="0"/>
      <c r="V1362" s="0"/>
      <c r="W1362" s="0"/>
      <c r="X1362" s="0"/>
      <c r="Y1362" s="0"/>
    </row>
    <row r="1363" customFormat="false" ht="12.8" hidden="false" customHeight="false" outlineLevel="0" collapsed="false">
      <c r="G1363" s="25" t="n">
        <v>45035</v>
      </c>
      <c r="H1363" s="43" t="s">
        <v>23</v>
      </c>
      <c r="I1363" s="5" t="n">
        <f aca="false">-20-14-14</f>
        <v>-48</v>
      </c>
      <c r="J1363" s="54" t="s">
        <v>37</v>
      </c>
      <c r="K1363" s="0"/>
      <c r="L1363" s="0"/>
      <c r="U1363" s="0"/>
      <c r="V1363" s="0"/>
      <c r="W1363" s="0"/>
      <c r="X1363" s="0"/>
      <c r="Y1363" s="0"/>
    </row>
    <row r="1364" customFormat="false" ht="12.8" hidden="false" customHeight="false" outlineLevel="0" collapsed="false">
      <c r="G1364" s="25" t="n">
        <v>45035</v>
      </c>
      <c r="H1364" s="43" t="s">
        <v>23</v>
      </c>
      <c r="I1364" s="5" t="n">
        <f aca="false">180+419</f>
        <v>599</v>
      </c>
      <c r="J1364" s="10" t="s">
        <v>42</v>
      </c>
      <c r="K1364" s="0"/>
      <c r="L1364" s="0"/>
      <c r="U1364" s="0"/>
      <c r="V1364" s="0"/>
      <c r="W1364" s="0"/>
      <c r="X1364" s="0"/>
      <c r="Y1364" s="0"/>
    </row>
    <row r="1365" customFormat="false" ht="12.8" hidden="false" customHeight="false" outlineLevel="0" collapsed="false">
      <c r="G1365" s="25" t="n">
        <v>45036</v>
      </c>
      <c r="H1365" s="43" t="s">
        <v>23</v>
      </c>
      <c r="I1365" s="5" t="n">
        <v>-14</v>
      </c>
      <c r="J1365" s="54" t="s">
        <v>37</v>
      </c>
      <c r="K1365" s="0"/>
      <c r="L1365" s="0"/>
      <c r="U1365" s="0"/>
      <c r="V1365" s="0"/>
      <c r="W1365" s="0"/>
      <c r="X1365" s="0"/>
      <c r="Y1365" s="0"/>
    </row>
    <row r="1366" customFormat="false" ht="12.8" hidden="false" customHeight="false" outlineLevel="0" collapsed="false">
      <c r="G1366" s="25" t="n">
        <v>45036</v>
      </c>
      <c r="H1366" s="43" t="s">
        <v>23</v>
      </c>
      <c r="I1366" s="5" t="n">
        <v>-655.54</v>
      </c>
      <c r="J1366" s="0" t="s">
        <v>52</v>
      </c>
      <c r="K1366" s="0"/>
      <c r="L1366" s="0"/>
      <c r="U1366" s="0"/>
      <c r="V1366" s="0"/>
      <c r="W1366" s="0"/>
      <c r="X1366" s="0"/>
      <c r="Y1366" s="0"/>
    </row>
    <row r="1367" customFormat="false" ht="12.8" hidden="false" customHeight="false" outlineLevel="0" collapsed="false">
      <c r="G1367" s="25" t="n">
        <v>45036</v>
      </c>
      <c r="H1367" s="43" t="s">
        <v>23</v>
      </c>
      <c r="I1367" s="5" t="n">
        <v>-14</v>
      </c>
      <c r="J1367" s="54" t="s">
        <v>37</v>
      </c>
      <c r="K1367" s="0"/>
      <c r="L1367" s="0"/>
      <c r="U1367" s="0"/>
      <c r="V1367" s="0"/>
      <c r="W1367" s="0"/>
      <c r="X1367" s="0"/>
      <c r="Y1367" s="0"/>
    </row>
    <row r="1368" customFormat="false" ht="12.8" hidden="false" customHeight="false" outlineLevel="0" collapsed="false">
      <c r="G1368" s="25" t="n">
        <v>45037</v>
      </c>
      <c r="H1368" s="43" t="s">
        <v>23</v>
      </c>
      <c r="I1368" s="5" t="n">
        <v>-95.54</v>
      </c>
      <c r="J1368" s="0" t="s">
        <v>53</v>
      </c>
      <c r="K1368" s="0"/>
      <c r="L1368" s="0"/>
      <c r="U1368" s="0"/>
      <c r="V1368" s="0"/>
      <c r="W1368" s="0"/>
      <c r="X1368" s="0"/>
      <c r="Y1368" s="0"/>
    </row>
    <row r="1369" customFormat="false" ht="12.8" hidden="false" customHeight="false" outlineLevel="0" collapsed="false">
      <c r="G1369" s="25" t="n">
        <v>45037</v>
      </c>
      <c r="H1369" s="43" t="s">
        <v>23</v>
      </c>
      <c r="I1369" s="5" t="n">
        <v>-71.04</v>
      </c>
      <c r="J1369" s="55" t="s">
        <v>48</v>
      </c>
      <c r="K1369" s="0"/>
      <c r="L1369" s="0"/>
      <c r="U1369" s="0"/>
      <c r="V1369" s="0"/>
      <c r="W1369" s="0"/>
      <c r="X1369" s="0"/>
      <c r="Y1369" s="0"/>
    </row>
    <row r="1370" customFormat="false" ht="12.8" hidden="false" customHeight="false" outlineLevel="0" collapsed="false">
      <c r="G1370" s="25" t="n">
        <v>45037</v>
      </c>
      <c r="H1370" s="43" t="s">
        <v>23</v>
      </c>
      <c r="I1370" s="5" t="n">
        <v>-14</v>
      </c>
      <c r="J1370" s="54" t="s">
        <v>37</v>
      </c>
      <c r="K1370" s="0"/>
      <c r="L1370" s="0"/>
      <c r="U1370" s="0"/>
      <c r="V1370" s="0"/>
      <c r="W1370" s="0"/>
      <c r="X1370" s="0"/>
      <c r="Y1370" s="0"/>
    </row>
    <row r="1371" customFormat="false" ht="12.8" hidden="false" customHeight="false" outlineLevel="0" collapsed="false">
      <c r="G1371" s="25" t="n">
        <v>45038</v>
      </c>
      <c r="H1371" s="43" t="s">
        <v>23</v>
      </c>
      <c r="I1371" s="5" t="n">
        <v>-14</v>
      </c>
      <c r="J1371" s="54" t="s">
        <v>37</v>
      </c>
      <c r="K1371" s="0"/>
      <c r="L1371" s="0"/>
      <c r="U1371" s="0"/>
      <c r="V1371" s="0"/>
      <c r="W1371" s="0"/>
      <c r="X1371" s="0"/>
      <c r="Y1371" s="0"/>
    </row>
    <row r="1372" customFormat="false" ht="12.8" hidden="false" customHeight="false" outlineLevel="0" collapsed="false">
      <c r="G1372" s="25" t="n">
        <v>45039</v>
      </c>
      <c r="H1372" s="43" t="s">
        <v>23</v>
      </c>
      <c r="I1372" s="5" t="n">
        <f aca="false">-40-21</f>
        <v>-61</v>
      </c>
      <c r="J1372" s="54" t="s">
        <v>37</v>
      </c>
      <c r="K1372" s="0"/>
      <c r="L1372" s="0"/>
      <c r="U1372" s="0"/>
      <c r="V1372" s="0"/>
      <c r="W1372" s="0"/>
      <c r="X1372" s="0"/>
      <c r="Y1372" s="0"/>
    </row>
    <row r="1373" customFormat="false" ht="12.8" hidden="false" customHeight="false" outlineLevel="0" collapsed="false">
      <c r="G1373" s="25" t="n">
        <v>45040</v>
      </c>
      <c r="H1373" s="26" t="s">
        <v>10</v>
      </c>
      <c r="I1373" s="5" t="n">
        <v>-150</v>
      </c>
      <c r="J1373" s="54" t="s">
        <v>88</v>
      </c>
      <c r="K1373" s="5"/>
      <c r="L1373" s="0"/>
      <c r="U1373" s="0"/>
      <c r="V1373" s="0"/>
      <c r="W1373" s="0"/>
      <c r="X1373" s="0"/>
      <c r="Y1373" s="0"/>
    </row>
    <row r="1374" customFormat="false" ht="12.8" hidden="false" customHeight="false" outlineLevel="0" collapsed="false">
      <c r="G1374" s="25" t="n">
        <v>45040</v>
      </c>
      <c r="H1374" s="32" t="s">
        <v>15</v>
      </c>
      <c r="I1374" s="5" t="n">
        <v>150</v>
      </c>
      <c r="J1374" s="54" t="s">
        <v>88</v>
      </c>
      <c r="K1374" s="0"/>
      <c r="L1374" s="0"/>
      <c r="U1374" s="0"/>
      <c r="V1374" s="0"/>
      <c r="W1374" s="0"/>
      <c r="X1374" s="0"/>
      <c r="Y1374" s="0"/>
    </row>
    <row r="1375" customFormat="false" ht="12.8" hidden="false" customHeight="false" outlineLevel="0" collapsed="false">
      <c r="G1375" s="25" t="n">
        <v>45040</v>
      </c>
      <c r="H1375" s="43" t="s">
        <v>23</v>
      </c>
      <c r="I1375" s="5" t="n">
        <v>-24</v>
      </c>
      <c r="J1375" s="54" t="s">
        <v>37</v>
      </c>
      <c r="K1375" s="0"/>
      <c r="L1375" s="0"/>
      <c r="U1375" s="0"/>
      <c r="V1375" s="0"/>
      <c r="W1375" s="0"/>
      <c r="X1375" s="0"/>
      <c r="Y1375" s="0"/>
    </row>
    <row r="1376" customFormat="false" ht="12.8" hidden="false" customHeight="false" outlineLevel="0" collapsed="false">
      <c r="G1376" s="25" t="n">
        <v>45040</v>
      </c>
      <c r="H1376" s="43" t="s">
        <v>23</v>
      </c>
      <c r="I1376" s="5" t="n">
        <v>-89.93</v>
      </c>
      <c r="J1376" s="54" t="s">
        <v>102</v>
      </c>
      <c r="K1376" s="0"/>
      <c r="L1376" s="0"/>
      <c r="U1376" s="0"/>
      <c r="V1376" s="0"/>
      <c r="W1376" s="0"/>
      <c r="X1376" s="0"/>
      <c r="Y1376" s="0"/>
    </row>
    <row r="1377" customFormat="false" ht="12.8" hidden="false" customHeight="false" outlineLevel="0" collapsed="false">
      <c r="G1377" s="25" t="n">
        <v>45041</v>
      </c>
      <c r="H1377" s="32" t="s">
        <v>15</v>
      </c>
      <c r="I1377" s="5" t="n">
        <v>-150</v>
      </c>
      <c r="J1377" s="0" t="s">
        <v>135</v>
      </c>
      <c r="K1377" s="0"/>
      <c r="L1377" s="0"/>
      <c r="U1377" s="0"/>
      <c r="V1377" s="0"/>
      <c r="W1377" s="0"/>
      <c r="X1377" s="0"/>
      <c r="Y1377" s="0"/>
    </row>
    <row r="1378" customFormat="false" ht="12.8" hidden="false" customHeight="false" outlineLevel="0" collapsed="false">
      <c r="G1378" s="25" t="n">
        <v>45041</v>
      </c>
      <c r="H1378" s="43" t="s">
        <v>23</v>
      </c>
      <c r="I1378" s="5" t="n">
        <v>-40</v>
      </c>
      <c r="J1378" s="54" t="s">
        <v>37</v>
      </c>
      <c r="K1378" s="0"/>
      <c r="L1378" s="0"/>
      <c r="U1378" s="0"/>
      <c r="V1378" s="0"/>
      <c r="W1378" s="0"/>
      <c r="X1378" s="0"/>
      <c r="Y1378" s="0"/>
    </row>
    <row r="1379" customFormat="false" ht="12.8" hidden="false" customHeight="false" outlineLevel="0" collapsed="false">
      <c r="G1379" s="25" t="n">
        <v>45041</v>
      </c>
      <c r="H1379" s="52" t="s">
        <v>14</v>
      </c>
      <c r="I1379" s="5" t="n">
        <f aca="false">3313.04-3307.84</f>
        <v>5.19999999999982</v>
      </c>
      <c r="J1379" s="0" t="s">
        <v>40</v>
      </c>
      <c r="K1379" s="0"/>
      <c r="L1379" s="0"/>
      <c r="U1379" s="0"/>
      <c r="V1379" s="0"/>
      <c r="W1379" s="0"/>
      <c r="X1379" s="0"/>
      <c r="Y1379" s="0"/>
    </row>
    <row r="1380" customFormat="false" ht="12.8" hidden="false" customHeight="false" outlineLevel="0" collapsed="false">
      <c r="G1380" s="25" t="n">
        <v>45042</v>
      </c>
      <c r="H1380" s="43" t="s">
        <v>23</v>
      </c>
      <c r="I1380" s="5" t="n">
        <v>-60.13</v>
      </c>
      <c r="J1380" s="54" t="s">
        <v>37</v>
      </c>
      <c r="K1380" s="0"/>
      <c r="L1380" s="0"/>
      <c r="U1380" s="0"/>
      <c r="V1380" s="0"/>
      <c r="W1380" s="0"/>
      <c r="X1380" s="0"/>
      <c r="Y1380" s="0"/>
    </row>
    <row r="1381" customFormat="false" ht="12.8" hidden="false" customHeight="false" outlineLevel="0" collapsed="false">
      <c r="G1381" s="25" t="n">
        <v>45042</v>
      </c>
      <c r="H1381" s="52" t="s">
        <v>14</v>
      </c>
      <c r="I1381" s="5" t="n">
        <v>-65</v>
      </c>
      <c r="J1381" s="0" t="s">
        <v>66</v>
      </c>
      <c r="K1381" s="0"/>
      <c r="L1381" s="0"/>
      <c r="U1381" s="0"/>
      <c r="V1381" s="0"/>
      <c r="W1381" s="0"/>
      <c r="X1381" s="0"/>
      <c r="Y1381" s="0"/>
    </row>
    <row r="1382" customFormat="false" ht="12.8" hidden="false" customHeight="false" outlineLevel="0" collapsed="false">
      <c r="G1382" s="25" t="n">
        <v>45042</v>
      </c>
      <c r="H1382" s="48" t="s">
        <v>26</v>
      </c>
      <c r="I1382" s="5" t="n">
        <v>65</v>
      </c>
      <c r="J1382" s="0" t="s">
        <v>66</v>
      </c>
      <c r="K1382" s="0"/>
      <c r="L1382" s="0"/>
      <c r="U1382" s="0"/>
      <c r="V1382" s="0"/>
      <c r="W1382" s="0"/>
      <c r="X1382" s="0"/>
      <c r="Y1382" s="0"/>
    </row>
    <row r="1383" customFormat="false" ht="12.8" hidden="false" customHeight="false" outlineLevel="0" collapsed="false">
      <c r="G1383" s="25" t="n">
        <v>45043</v>
      </c>
      <c r="H1383" s="43" t="s">
        <v>23</v>
      </c>
      <c r="I1383" s="5" t="n">
        <v>-40</v>
      </c>
      <c r="J1383" s="54" t="s">
        <v>37</v>
      </c>
      <c r="K1383" s="0"/>
      <c r="L1383" s="0"/>
      <c r="U1383" s="0"/>
      <c r="V1383" s="0"/>
      <c r="W1383" s="0"/>
      <c r="X1383" s="0"/>
      <c r="Y1383" s="0"/>
    </row>
    <row r="1384" customFormat="false" ht="12.8" hidden="false" customHeight="false" outlineLevel="0" collapsed="false">
      <c r="G1384" s="25" t="n">
        <v>45044</v>
      </c>
      <c r="H1384" s="48" t="s">
        <v>26</v>
      </c>
      <c r="I1384" s="5" t="n">
        <v>-50</v>
      </c>
      <c r="J1384" s="0" t="s">
        <v>98</v>
      </c>
      <c r="K1384" s="0"/>
      <c r="L1384" s="0"/>
      <c r="U1384" s="0"/>
      <c r="V1384" s="0"/>
      <c r="W1384" s="0"/>
      <c r="X1384" s="0"/>
      <c r="Y1384" s="0"/>
    </row>
    <row r="1385" customFormat="false" ht="12.8" hidden="false" customHeight="false" outlineLevel="0" collapsed="false">
      <c r="G1385" s="25" t="n">
        <v>45044</v>
      </c>
      <c r="H1385" s="52" t="s">
        <v>14</v>
      </c>
      <c r="I1385" s="5" t="n">
        <v>50</v>
      </c>
      <c r="J1385" s="0" t="s">
        <v>98</v>
      </c>
      <c r="K1385" s="0"/>
      <c r="L1385" s="0"/>
      <c r="U1385" s="0"/>
      <c r="V1385" s="0"/>
      <c r="W1385" s="0"/>
      <c r="X1385" s="0"/>
      <c r="Y1385" s="0"/>
    </row>
    <row r="1386" customFormat="false" ht="12.8" hidden="false" customHeight="false" outlineLevel="0" collapsed="false">
      <c r="G1386" s="25" t="n">
        <v>45044</v>
      </c>
      <c r="H1386" s="52" t="s">
        <v>14</v>
      </c>
      <c r="I1386" s="5" t="n">
        <f aca="false">3299.24-3298.04</f>
        <v>1.19999999999982</v>
      </c>
      <c r="J1386" s="0" t="s">
        <v>40</v>
      </c>
      <c r="K1386" s="0"/>
      <c r="L1386" s="0"/>
      <c r="U1386" s="0"/>
      <c r="V1386" s="0"/>
      <c r="W1386" s="0"/>
      <c r="X1386" s="0"/>
      <c r="Y1386" s="0"/>
    </row>
    <row r="1387" customFormat="false" ht="12.8" hidden="false" customHeight="false" outlineLevel="0" collapsed="false">
      <c r="G1387" s="25" t="n">
        <v>45044</v>
      </c>
      <c r="H1387" s="43" t="s">
        <v>23</v>
      </c>
      <c r="I1387" s="5" t="n">
        <v>-40</v>
      </c>
      <c r="J1387" s="54" t="s">
        <v>37</v>
      </c>
      <c r="K1387" s="0"/>
      <c r="L1387" s="0"/>
      <c r="U1387" s="0"/>
      <c r="V1387" s="0"/>
      <c r="W1387" s="0"/>
      <c r="X1387" s="0"/>
      <c r="Y1387" s="0"/>
    </row>
    <row r="1388" customFormat="false" ht="12.8" hidden="false" customHeight="false" outlineLevel="0" collapsed="false">
      <c r="G1388" s="25" t="n">
        <v>45044</v>
      </c>
      <c r="H1388" s="43" t="s">
        <v>23</v>
      </c>
      <c r="I1388" s="5" t="n">
        <v>-30</v>
      </c>
      <c r="J1388" s="0" t="s">
        <v>46</v>
      </c>
      <c r="K1388" s="0"/>
      <c r="L1388" s="0"/>
      <c r="U1388" s="0"/>
      <c r="V1388" s="0"/>
      <c r="W1388" s="0"/>
      <c r="X1388" s="0"/>
      <c r="Y1388" s="0"/>
    </row>
    <row r="1389" customFormat="false" ht="12.8" hidden="false" customHeight="false" outlineLevel="0" collapsed="false">
      <c r="G1389" s="25" t="n">
        <v>45045</v>
      </c>
      <c r="H1389" s="43" t="s">
        <v>23</v>
      </c>
      <c r="I1389" s="5" t="n">
        <v>-61.05</v>
      </c>
      <c r="J1389" s="0" t="s">
        <v>37</v>
      </c>
      <c r="K1389" s="0"/>
      <c r="L1389" s="0"/>
      <c r="U1389" s="0"/>
      <c r="V1389" s="0"/>
      <c r="W1389" s="0"/>
      <c r="X1389" s="0"/>
      <c r="Y1389" s="0"/>
    </row>
    <row r="1390" customFormat="false" ht="12.8" hidden="false" customHeight="false" outlineLevel="0" collapsed="false">
      <c r="G1390" s="25" t="n">
        <v>45045</v>
      </c>
      <c r="H1390" s="43" t="s">
        <v>23</v>
      </c>
      <c r="I1390" s="5" t="n">
        <v>-63</v>
      </c>
      <c r="J1390" s="0" t="s">
        <v>134</v>
      </c>
      <c r="K1390" s="0"/>
      <c r="L1390" s="0"/>
      <c r="U1390" s="0"/>
      <c r="V1390" s="0"/>
      <c r="W1390" s="0"/>
      <c r="X1390" s="0"/>
      <c r="Y1390" s="0"/>
    </row>
    <row r="1391" customFormat="false" ht="12.8" hidden="false" customHeight="false" outlineLevel="0" collapsed="false">
      <c r="G1391" s="25" t="n">
        <v>45046</v>
      </c>
      <c r="H1391" s="43" t="s">
        <v>23</v>
      </c>
      <c r="I1391" s="5" t="n">
        <v>-5</v>
      </c>
      <c r="J1391" s="0" t="s">
        <v>82</v>
      </c>
      <c r="K1391" s="0"/>
      <c r="L1391" s="0"/>
      <c r="U1391" s="0"/>
      <c r="V1391" s="0"/>
      <c r="W1391" s="0"/>
      <c r="X1391" s="0"/>
      <c r="Y1391" s="0"/>
    </row>
    <row r="1392" customFormat="false" ht="12.8" hidden="false" customHeight="false" outlineLevel="0" collapsed="false">
      <c r="G1392" s="25" t="n">
        <v>45046</v>
      </c>
      <c r="H1392" s="43" t="s">
        <v>23</v>
      </c>
      <c r="I1392" s="5" t="n">
        <v>-98.28</v>
      </c>
      <c r="J1392" s="54" t="s">
        <v>37</v>
      </c>
      <c r="K1392" s="0"/>
      <c r="L1392" s="0"/>
      <c r="U1392" s="0"/>
      <c r="V1392" s="0"/>
      <c r="W1392" s="0"/>
      <c r="X1392" s="0"/>
      <c r="Y1392" s="0"/>
    </row>
    <row r="1393" customFormat="false" ht="12.8" hidden="false" customHeight="false" outlineLevel="0" collapsed="false">
      <c r="G1393" s="25" t="n">
        <v>45046</v>
      </c>
      <c r="H1393" s="52" t="s">
        <v>14</v>
      </c>
      <c r="I1393" s="5" t="n">
        <f aca="false">3300.44-3299.24</f>
        <v>1.20000000000027</v>
      </c>
      <c r="J1393" s="0" t="s">
        <v>40</v>
      </c>
      <c r="K1393" s="0"/>
      <c r="L1393" s="0"/>
      <c r="U1393" s="0"/>
      <c r="V1393" s="0"/>
      <c r="W1393" s="0"/>
      <c r="X1393" s="0"/>
      <c r="Y1393" s="0"/>
    </row>
    <row r="1394" customFormat="false" ht="12.8" hidden="false" customHeight="false" outlineLevel="0" collapsed="false">
      <c r="G1394" s="25" t="n">
        <v>45047</v>
      </c>
      <c r="H1394" s="26" t="s">
        <v>10</v>
      </c>
      <c r="I1394" s="5" t="n">
        <v>0.58</v>
      </c>
      <c r="J1394" s="0" t="s">
        <v>40</v>
      </c>
      <c r="K1394" s="0"/>
      <c r="L1394" s="0"/>
      <c r="U1394" s="0"/>
      <c r="V1394" s="0"/>
      <c r="W1394" s="0"/>
      <c r="X1394" s="0"/>
      <c r="Y1394" s="0"/>
    </row>
    <row r="1395" customFormat="false" ht="12.8" hidden="false" customHeight="false" outlineLevel="0" collapsed="false">
      <c r="G1395" s="25" t="n">
        <v>45047</v>
      </c>
      <c r="H1395" s="48" t="s">
        <v>26</v>
      </c>
      <c r="I1395" s="5" t="n">
        <v>-15</v>
      </c>
      <c r="J1395" s="0" t="s">
        <v>82</v>
      </c>
      <c r="K1395" s="0"/>
      <c r="L1395" s="0"/>
      <c r="U1395" s="0"/>
      <c r="V1395" s="0"/>
      <c r="W1395" s="0"/>
      <c r="X1395" s="0"/>
      <c r="Y1395" s="0"/>
    </row>
    <row r="1396" customFormat="false" ht="12.8" hidden="false" customHeight="false" outlineLevel="0" collapsed="false">
      <c r="G1396" s="25" t="n">
        <v>45047</v>
      </c>
      <c r="H1396" s="43" t="s">
        <v>23</v>
      </c>
      <c r="I1396" s="5" t="n">
        <v>-53.88</v>
      </c>
      <c r="J1396" s="54" t="s">
        <v>37</v>
      </c>
      <c r="K1396" s="0"/>
      <c r="L1396" s="0"/>
      <c r="U1396" s="0"/>
      <c r="V1396" s="0"/>
      <c r="W1396" s="0"/>
      <c r="X1396" s="0"/>
      <c r="Y1396" s="0"/>
    </row>
    <row r="1397" customFormat="false" ht="12.8" hidden="false" customHeight="false" outlineLevel="0" collapsed="false">
      <c r="G1397" s="25" t="n">
        <v>45048</v>
      </c>
      <c r="H1397" s="43" t="s">
        <v>23</v>
      </c>
      <c r="I1397" s="5" t="n">
        <v>-42.94</v>
      </c>
      <c r="J1397" s="54" t="s">
        <v>37</v>
      </c>
      <c r="K1397" s="0"/>
      <c r="L1397" s="0"/>
      <c r="U1397" s="0"/>
      <c r="V1397" s="0"/>
      <c r="W1397" s="0"/>
      <c r="X1397" s="0"/>
      <c r="Y1397" s="0"/>
    </row>
    <row r="1398" customFormat="false" ht="12.8" hidden="false" customHeight="false" outlineLevel="0" collapsed="false">
      <c r="G1398" s="25" t="n">
        <v>45048</v>
      </c>
      <c r="H1398" s="43" t="s">
        <v>23</v>
      </c>
      <c r="I1398" s="5" t="n">
        <v>250</v>
      </c>
      <c r="J1398" s="10" t="s">
        <v>42</v>
      </c>
      <c r="K1398" s="0"/>
      <c r="L1398" s="0"/>
      <c r="U1398" s="0"/>
      <c r="V1398" s="0"/>
      <c r="W1398" s="0"/>
      <c r="X1398" s="0"/>
      <c r="Y1398" s="0"/>
    </row>
    <row r="1399" customFormat="false" ht="12.8" hidden="false" customHeight="false" outlineLevel="0" collapsed="false">
      <c r="G1399" s="25" t="n">
        <v>45048</v>
      </c>
      <c r="H1399" s="43" t="s">
        <v>23</v>
      </c>
      <c r="I1399" s="5" t="n">
        <v>-5</v>
      </c>
      <c r="J1399" s="0" t="s">
        <v>130</v>
      </c>
      <c r="K1399" s="0"/>
      <c r="L1399" s="0"/>
      <c r="U1399" s="0"/>
      <c r="V1399" s="0"/>
      <c r="W1399" s="0"/>
      <c r="X1399" s="0"/>
      <c r="Y1399" s="0"/>
    </row>
    <row r="1400" customFormat="false" ht="12.8" hidden="false" customHeight="false" outlineLevel="0" collapsed="false">
      <c r="G1400" s="25" t="n">
        <v>45048</v>
      </c>
      <c r="H1400" s="43" t="s">
        <v>23</v>
      </c>
      <c r="I1400" s="5" t="n">
        <v>-14</v>
      </c>
      <c r="J1400" s="0" t="s">
        <v>134</v>
      </c>
      <c r="K1400" s="0"/>
      <c r="L1400" s="0"/>
      <c r="U1400" s="0"/>
      <c r="V1400" s="0"/>
      <c r="W1400" s="0"/>
      <c r="X1400" s="0"/>
      <c r="Y1400" s="0"/>
    </row>
    <row r="1401" customFormat="false" ht="12.8" hidden="false" customHeight="false" outlineLevel="0" collapsed="false">
      <c r="G1401" s="25" t="n">
        <v>45049</v>
      </c>
      <c r="H1401" s="43" t="s">
        <v>23</v>
      </c>
      <c r="I1401" s="5" t="n">
        <v>-75.07</v>
      </c>
      <c r="J1401" s="54" t="s">
        <v>37</v>
      </c>
      <c r="K1401" s="0"/>
      <c r="L1401" s="0"/>
      <c r="U1401" s="0"/>
      <c r="V1401" s="0"/>
      <c r="W1401" s="0"/>
      <c r="X1401" s="0"/>
      <c r="Y1401" s="0"/>
    </row>
    <row r="1402" customFormat="false" ht="12.8" hidden="false" customHeight="false" outlineLevel="0" collapsed="false">
      <c r="G1402" s="25" t="n">
        <v>45050</v>
      </c>
      <c r="H1402" s="43" t="s">
        <v>23</v>
      </c>
      <c r="I1402" s="5" t="n">
        <v>-56.94</v>
      </c>
      <c r="J1402" s="54" t="s">
        <v>37</v>
      </c>
      <c r="K1402" s="0"/>
      <c r="L1402" s="0"/>
      <c r="U1402" s="0"/>
      <c r="V1402" s="0"/>
      <c r="W1402" s="0"/>
      <c r="X1402" s="0"/>
      <c r="Y1402" s="0"/>
    </row>
    <row r="1403" customFormat="false" ht="12.8" hidden="false" customHeight="false" outlineLevel="0" collapsed="false">
      <c r="G1403" s="25" t="n">
        <v>45051</v>
      </c>
      <c r="H1403" s="52" t="s">
        <v>14</v>
      </c>
      <c r="I1403" s="5" t="n">
        <f aca="false">3302.04-3300.44</f>
        <v>1.59999999999991</v>
      </c>
      <c r="J1403" s="10" t="s">
        <v>40</v>
      </c>
      <c r="K1403" s="0"/>
      <c r="L1403" s="0"/>
      <c r="U1403" s="0"/>
      <c r="V1403" s="0"/>
      <c r="W1403" s="0"/>
      <c r="X1403" s="0"/>
      <c r="Y1403" s="0"/>
    </row>
    <row r="1404" customFormat="false" ht="12.8" hidden="false" customHeight="false" outlineLevel="0" collapsed="false">
      <c r="G1404" s="25" t="n">
        <v>45051</v>
      </c>
      <c r="H1404" s="52" t="s">
        <v>14</v>
      </c>
      <c r="I1404" s="5" t="n">
        <v>-2003</v>
      </c>
      <c r="J1404" s="10" t="s">
        <v>66</v>
      </c>
      <c r="K1404" s="0"/>
      <c r="L1404" s="0"/>
      <c r="U1404" s="0"/>
      <c r="V1404" s="0"/>
      <c r="W1404" s="0"/>
      <c r="X1404" s="0"/>
      <c r="Y1404" s="0"/>
    </row>
    <row r="1405" customFormat="false" ht="12.8" hidden="false" customHeight="false" outlineLevel="0" collapsed="false">
      <c r="G1405" s="25" t="n">
        <v>45051</v>
      </c>
      <c r="H1405" s="48" t="s">
        <v>26</v>
      </c>
      <c r="I1405" s="5" t="n">
        <v>2003</v>
      </c>
      <c r="J1405" s="10" t="s">
        <v>66</v>
      </c>
      <c r="K1405" s="0"/>
      <c r="L1405" s="0"/>
      <c r="U1405" s="0"/>
      <c r="V1405" s="0"/>
      <c r="W1405" s="0"/>
      <c r="X1405" s="0"/>
      <c r="Y1405" s="0"/>
    </row>
    <row r="1406" customFormat="false" ht="12.8" hidden="false" customHeight="false" outlineLevel="0" collapsed="false">
      <c r="G1406" s="25" t="n">
        <v>45051</v>
      </c>
      <c r="H1406" s="48" t="s">
        <v>26</v>
      </c>
      <c r="I1406" s="5" t="n">
        <v>-2000</v>
      </c>
      <c r="J1406" s="55" t="s">
        <v>68</v>
      </c>
      <c r="K1406" s="0"/>
      <c r="L1406" s="0"/>
      <c r="U1406" s="0"/>
      <c r="V1406" s="0"/>
      <c r="W1406" s="0"/>
      <c r="X1406" s="0"/>
      <c r="Y1406" s="0"/>
    </row>
    <row r="1407" customFormat="false" ht="12.8" hidden="false" customHeight="false" outlineLevel="0" collapsed="false">
      <c r="G1407" s="25" t="n">
        <v>45051</v>
      </c>
      <c r="H1407" s="48" t="s">
        <v>26</v>
      </c>
      <c r="I1407" s="5" t="n">
        <v>-3</v>
      </c>
      <c r="J1407" s="55" t="s">
        <v>92</v>
      </c>
      <c r="K1407" s="0"/>
      <c r="L1407" s="0"/>
      <c r="U1407" s="0"/>
      <c r="V1407" s="0"/>
      <c r="W1407" s="0"/>
      <c r="X1407" s="0"/>
      <c r="Y1407" s="0"/>
    </row>
    <row r="1408" customFormat="false" ht="12.8" hidden="false" customHeight="false" outlineLevel="0" collapsed="false">
      <c r="G1408" s="25" t="n">
        <v>45051</v>
      </c>
      <c r="H1408" s="32" t="s">
        <v>15</v>
      </c>
      <c r="I1408" s="5" t="n">
        <v>2000</v>
      </c>
      <c r="J1408" s="55" t="s">
        <v>68</v>
      </c>
      <c r="K1408" s="0"/>
      <c r="L1408" s="0"/>
      <c r="U1408" s="0"/>
      <c r="V1408" s="0"/>
      <c r="W1408" s="0"/>
      <c r="X1408" s="0"/>
      <c r="Y1408" s="0"/>
    </row>
    <row r="1409" customFormat="false" ht="12.8" hidden="false" customHeight="false" outlineLevel="0" collapsed="false">
      <c r="G1409" s="25" t="n">
        <v>45051</v>
      </c>
      <c r="H1409" s="32" t="s">
        <v>15</v>
      </c>
      <c r="I1409" s="5" t="n">
        <v>-2000</v>
      </c>
      <c r="J1409" s="0" t="s">
        <v>104</v>
      </c>
      <c r="K1409" s="0"/>
      <c r="L1409" s="0"/>
      <c r="U1409" s="0"/>
      <c r="V1409" s="0"/>
      <c r="W1409" s="0"/>
      <c r="X1409" s="0"/>
      <c r="Y1409" s="0"/>
    </row>
    <row r="1410" customFormat="false" ht="12.8" hidden="false" customHeight="false" outlineLevel="0" collapsed="false">
      <c r="G1410" s="25" t="n">
        <v>45051</v>
      </c>
      <c r="H1410" s="26" t="s">
        <v>10</v>
      </c>
      <c r="I1410" s="5" t="n">
        <v>2000</v>
      </c>
      <c r="J1410" s="0" t="s">
        <v>104</v>
      </c>
      <c r="K1410" s="0"/>
      <c r="L1410" s="0"/>
      <c r="U1410" s="0"/>
      <c r="V1410" s="0"/>
      <c r="W1410" s="0"/>
      <c r="X1410" s="0"/>
      <c r="Y1410" s="0"/>
    </row>
    <row r="1411" customFormat="false" ht="12.8" hidden="false" customHeight="false" outlineLevel="0" collapsed="false">
      <c r="G1411" s="25" t="n">
        <v>45051</v>
      </c>
      <c r="H1411" s="43" t="s">
        <v>23</v>
      </c>
      <c r="I1411" s="5" t="n">
        <v>-51.14</v>
      </c>
      <c r="J1411" s="54" t="s">
        <v>37</v>
      </c>
      <c r="K1411" s="0"/>
      <c r="L1411" s="0"/>
      <c r="U1411" s="0"/>
      <c r="V1411" s="0"/>
      <c r="W1411" s="0"/>
      <c r="X1411" s="0"/>
      <c r="Y1411" s="0"/>
    </row>
    <row r="1412" customFormat="false" ht="12.8" hidden="false" customHeight="false" outlineLevel="0" collapsed="false">
      <c r="G1412" s="25" t="n">
        <v>45051</v>
      </c>
      <c r="H1412" s="43" t="s">
        <v>23</v>
      </c>
      <c r="I1412" s="5" t="n">
        <v>-14</v>
      </c>
      <c r="J1412" s="54" t="s">
        <v>134</v>
      </c>
      <c r="K1412" s="0"/>
      <c r="L1412" s="0"/>
      <c r="U1412" s="0"/>
      <c r="V1412" s="0"/>
      <c r="W1412" s="0"/>
      <c r="X1412" s="0"/>
      <c r="Y1412" s="0"/>
    </row>
    <row r="1413" customFormat="false" ht="12.8" hidden="false" customHeight="false" outlineLevel="0" collapsed="false">
      <c r="G1413" s="25" t="n">
        <v>45052</v>
      </c>
      <c r="H1413" s="43" t="s">
        <v>23</v>
      </c>
      <c r="I1413" s="5" t="n">
        <v>-61.35</v>
      </c>
      <c r="J1413" s="54" t="s">
        <v>37</v>
      </c>
      <c r="K1413" s="0"/>
      <c r="L1413" s="0"/>
      <c r="U1413" s="0"/>
      <c r="V1413" s="0"/>
      <c r="W1413" s="0"/>
      <c r="X1413" s="0"/>
      <c r="Y1413" s="0"/>
    </row>
    <row r="1414" customFormat="false" ht="12.8" hidden="false" customHeight="false" outlineLevel="0" collapsed="false">
      <c r="G1414" s="25" t="n">
        <v>45052</v>
      </c>
      <c r="H1414" s="43" t="s">
        <v>23</v>
      </c>
      <c r="I1414" s="5" t="n">
        <f aca="false">-10.85-28</f>
        <v>-38.85</v>
      </c>
      <c r="J1414" s="54" t="s">
        <v>136</v>
      </c>
      <c r="K1414" s="0"/>
      <c r="L1414" s="0"/>
      <c r="U1414" s="0"/>
      <c r="V1414" s="0"/>
      <c r="W1414" s="0"/>
      <c r="X1414" s="0"/>
      <c r="Y1414" s="0"/>
    </row>
    <row r="1415" customFormat="false" ht="12.8" hidden="false" customHeight="false" outlineLevel="0" collapsed="false">
      <c r="G1415" s="25" t="n">
        <v>45053</v>
      </c>
      <c r="H1415" s="43" t="s">
        <v>23</v>
      </c>
      <c r="I1415" s="5" t="n">
        <v>-80.1</v>
      </c>
      <c r="J1415" s="54" t="s">
        <v>37</v>
      </c>
      <c r="K1415" s="0"/>
      <c r="L1415" s="0"/>
      <c r="U1415" s="0"/>
      <c r="V1415" s="0"/>
      <c r="W1415" s="0"/>
      <c r="X1415" s="0"/>
      <c r="Y1415" s="0"/>
    </row>
    <row r="1416" customFormat="false" ht="12.8" hidden="false" customHeight="false" outlineLevel="0" collapsed="false">
      <c r="G1416" s="25" t="n">
        <v>45053</v>
      </c>
      <c r="H1416" s="43" t="s">
        <v>23</v>
      </c>
      <c r="I1416" s="5" t="n">
        <v>-28</v>
      </c>
      <c r="J1416" s="54" t="s">
        <v>134</v>
      </c>
      <c r="K1416" s="0"/>
      <c r="L1416" s="0"/>
      <c r="U1416" s="0"/>
      <c r="V1416" s="0"/>
      <c r="W1416" s="0"/>
      <c r="X1416" s="0"/>
      <c r="Y1416" s="0"/>
    </row>
    <row r="1417" customFormat="false" ht="12.8" hidden="false" customHeight="false" outlineLevel="0" collapsed="false">
      <c r="G1417" s="25" t="n">
        <v>45054</v>
      </c>
      <c r="H1417" s="26" t="s">
        <v>10</v>
      </c>
      <c r="I1417" s="5" t="n">
        <v>-1150</v>
      </c>
      <c r="J1417" s="54" t="s">
        <v>38</v>
      </c>
      <c r="K1417" s="0"/>
      <c r="L1417" s="0"/>
      <c r="U1417" s="0"/>
      <c r="V1417" s="0"/>
      <c r="W1417" s="0"/>
      <c r="X1417" s="0"/>
      <c r="Y1417" s="0"/>
    </row>
    <row r="1418" customFormat="false" ht="12.8" hidden="false" customHeight="false" outlineLevel="0" collapsed="false">
      <c r="G1418" s="25" t="n">
        <v>45054</v>
      </c>
      <c r="H1418" s="32" t="s">
        <v>15</v>
      </c>
      <c r="I1418" s="5" t="n">
        <v>1150</v>
      </c>
      <c r="J1418" s="54" t="s">
        <v>38</v>
      </c>
      <c r="K1418" s="0"/>
      <c r="L1418" s="0"/>
      <c r="U1418" s="0"/>
      <c r="V1418" s="0"/>
      <c r="W1418" s="0"/>
      <c r="X1418" s="0"/>
      <c r="Y1418" s="0"/>
    </row>
    <row r="1419" customFormat="false" ht="12.8" hidden="false" customHeight="false" outlineLevel="0" collapsed="false">
      <c r="G1419" s="25" t="n">
        <v>45054</v>
      </c>
      <c r="H1419" s="32" t="s">
        <v>15</v>
      </c>
      <c r="I1419" s="5" t="n">
        <v>-1150</v>
      </c>
      <c r="J1419" s="54" t="s">
        <v>110</v>
      </c>
      <c r="K1419" s="0"/>
      <c r="L1419" s="0"/>
      <c r="U1419" s="0"/>
      <c r="V1419" s="0"/>
      <c r="W1419" s="0"/>
      <c r="X1419" s="0"/>
      <c r="Y1419" s="0"/>
    </row>
    <row r="1420" customFormat="false" ht="12.8" hidden="false" customHeight="false" outlineLevel="0" collapsed="false">
      <c r="G1420" s="25" t="n">
        <v>45054</v>
      </c>
      <c r="H1420" s="48" t="s">
        <v>26</v>
      </c>
      <c r="I1420" s="5" t="n">
        <v>1150</v>
      </c>
      <c r="J1420" s="54" t="s">
        <v>110</v>
      </c>
      <c r="K1420" s="0"/>
      <c r="L1420" s="0"/>
      <c r="U1420" s="0"/>
      <c r="V1420" s="0"/>
      <c r="W1420" s="0"/>
      <c r="X1420" s="0"/>
      <c r="Y1420" s="0"/>
    </row>
    <row r="1421" customFormat="false" ht="12.8" hidden="false" customHeight="false" outlineLevel="0" collapsed="false">
      <c r="G1421" s="25" t="n">
        <v>45054</v>
      </c>
      <c r="H1421" s="43" t="s">
        <v>23</v>
      </c>
      <c r="I1421" s="5" t="n">
        <v>-62.35</v>
      </c>
      <c r="J1421" s="54" t="s">
        <v>37</v>
      </c>
      <c r="K1421" s="0"/>
      <c r="L1421" s="0"/>
      <c r="U1421" s="0"/>
      <c r="V1421" s="0"/>
      <c r="W1421" s="0"/>
      <c r="X1421" s="0"/>
      <c r="Y1421" s="0"/>
    </row>
    <row r="1422" customFormat="false" ht="12.8" hidden="false" customHeight="false" outlineLevel="0" collapsed="false">
      <c r="G1422" s="25" t="n">
        <v>45054</v>
      </c>
      <c r="H1422" s="52" t="s">
        <v>14</v>
      </c>
      <c r="I1422" s="5" t="n">
        <f aca="false">-1299.04+1299.52</f>
        <v>0.480000000000018</v>
      </c>
      <c r="J1422" s="55" t="s">
        <v>40</v>
      </c>
      <c r="K1422" s="0"/>
      <c r="L1422" s="0"/>
      <c r="U1422" s="0"/>
      <c r="V1422" s="0"/>
      <c r="W1422" s="0"/>
      <c r="X1422" s="0"/>
      <c r="Y1422" s="0"/>
    </row>
    <row r="1423" customFormat="false" ht="12.8" hidden="false" customHeight="false" outlineLevel="0" collapsed="false">
      <c r="G1423" s="25" t="n">
        <v>45054</v>
      </c>
      <c r="H1423" s="48" t="s">
        <v>26</v>
      </c>
      <c r="I1423" s="5" t="n">
        <v>-1150</v>
      </c>
      <c r="J1423" s="0" t="s">
        <v>104</v>
      </c>
      <c r="K1423" s="5"/>
      <c r="L1423" s="0"/>
      <c r="U1423" s="0"/>
      <c r="V1423" s="0"/>
      <c r="W1423" s="0"/>
      <c r="X1423" s="0"/>
      <c r="Y1423" s="0"/>
    </row>
    <row r="1424" customFormat="false" ht="12.8" hidden="false" customHeight="false" outlineLevel="0" collapsed="false">
      <c r="G1424" s="25" t="n">
        <v>45054</v>
      </c>
      <c r="H1424" s="52" t="s">
        <v>14</v>
      </c>
      <c r="I1424" s="5" t="n">
        <v>1150</v>
      </c>
      <c r="J1424" s="0" t="s">
        <v>104</v>
      </c>
      <c r="K1424" s="5"/>
      <c r="L1424" s="0"/>
      <c r="U1424" s="0"/>
      <c r="V1424" s="0"/>
      <c r="W1424" s="0"/>
      <c r="X1424" s="0"/>
      <c r="Y1424" s="0"/>
    </row>
    <row r="1425" customFormat="false" ht="12.8" hidden="false" customHeight="false" outlineLevel="0" collapsed="false">
      <c r="G1425" s="25" t="n">
        <v>45055</v>
      </c>
      <c r="H1425" s="43" t="s">
        <v>23</v>
      </c>
      <c r="I1425" s="5" t="n">
        <v>-60.48</v>
      </c>
      <c r="J1425" s="54" t="s">
        <v>37</v>
      </c>
      <c r="K1425" s="0"/>
      <c r="L1425" s="0"/>
      <c r="U1425" s="0"/>
      <c r="V1425" s="0"/>
      <c r="W1425" s="0"/>
      <c r="X1425" s="0"/>
      <c r="Y1425" s="0"/>
    </row>
    <row r="1426" customFormat="false" ht="12.8" hidden="false" customHeight="false" outlineLevel="0" collapsed="false">
      <c r="G1426" s="25" t="n">
        <v>45055</v>
      </c>
      <c r="H1426" s="43" t="s">
        <v>23</v>
      </c>
      <c r="I1426" s="5" t="n">
        <v>-28</v>
      </c>
      <c r="J1426" s="0" t="s">
        <v>134</v>
      </c>
      <c r="K1426" s="0"/>
      <c r="L1426" s="0"/>
      <c r="U1426" s="0"/>
      <c r="V1426" s="0"/>
      <c r="W1426" s="0"/>
      <c r="X1426" s="0"/>
      <c r="Y1426" s="0"/>
    </row>
    <row r="1427" customFormat="false" ht="12.8" hidden="false" customHeight="false" outlineLevel="0" collapsed="false">
      <c r="G1427" s="25" t="n">
        <v>45056</v>
      </c>
      <c r="H1427" s="43" t="s">
        <v>23</v>
      </c>
      <c r="I1427" s="5" t="n">
        <v>-57.68</v>
      </c>
      <c r="J1427" s="54" t="s">
        <v>37</v>
      </c>
      <c r="K1427" s="0"/>
      <c r="L1427" s="0"/>
      <c r="U1427" s="0"/>
      <c r="V1427" s="0"/>
      <c r="W1427" s="0"/>
      <c r="X1427" s="0"/>
      <c r="Y1427" s="0"/>
    </row>
    <row r="1428" customFormat="false" ht="12.8" hidden="false" customHeight="false" outlineLevel="0" collapsed="false">
      <c r="G1428" s="25" t="n">
        <v>45056</v>
      </c>
      <c r="H1428" s="26" t="s">
        <v>10</v>
      </c>
      <c r="I1428" s="5" t="n">
        <v>-700</v>
      </c>
      <c r="J1428" s="54" t="s">
        <v>38</v>
      </c>
      <c r="K1428" s="0"/>
      <c r="L1428" s="0"/>
      <c r="U1428" s="0"/>
      <c r="V1428" s="0"/>
      <c r="W1428" s="0"/>
      <c r="X1428" s="0"/>
      <c r="Y1428" s="0"/>
    </row>
    <row r="1429" customFormat="false" ht="12.8" hidden="false" customHeight="false" outlineLevel="0" collapsed="false">
      <c r="G1429" s="25" t="n">
        <v>45056</v>
      </c>
      <c r="H1429" s="32" t="s">
        <v>15</v>
      </c>
      <c r="I1429" s="5" t="n">
        <v>700</v>
      </c>
      <c r="J1429" s="54" t="s">
        <v>38</v>
      </c>
      <c r="K1429" s="0"/>
      <c r="L1429" s="0"/>
      <c r="U1429" s="0"/>
      <c r="V1429" s="0"/>
      <c r="W1429" s="0"/>
      <c r="X1429" s="0"/>
      <c r="Y1429" s="0"/>
    </row>
    <row r="1430" customFormat="false" ht="12.8" hidden="false" customHeight="false" outlineLevel="0" collapsed="false">
      <c r="G1430" s="25" t="n">
        <v>45056</v>
      </c>
      <c r="H1430" s="32" t="s">
        <v>15</v>
      </c>
      <c r="I1430" s="5" t="n">
        <v>-700</v>
      </c>
      <c r="J1430" s="54" t="s">
        <v>44</v>
      </c>
      <c r="K1430" s="0"/>
      <c r="L1430" s="0"/>
      <c r="U1430" s="0"/>
      <c r="V1430" s="0"/>
      <c r="W1430" s="0"/>
      <c r="X1430" s="0"/>
      <c r="Y1430" s="0"/>
    </row>
    <row r="1431" customFormat="false" ht="12.8" hidden="false" customHeight="false" outlineLevel="0" collapsed="false">
      <c r="G1431" s="25" t="n">
        <v>45057</v>
      </c>
      <c r="H1431" s="43" t="s">
        <v>23</v>
      </c>
      <c r="I1431" s="5" t="n">
        <v>-60.84</v>
      </c>
      <c r="J1431" s="54" t="s">
        <v>37</v>
      </c>
      <c r="K1431" s="0"/>
      <c r="L1431" s="0"/>
      <c r="U1431" s="0"/>
      <c r="V1431" s="0"/>
      <c r="W1431" s="0"/>
      <c r="X1431" s="0"/>
      <c r="Y1431" s="0"/>
    </row>
    <row r="1432" customFormat="false" ht="12.8" hidden="false" customHeight="false" outlineLevel="0" collapsed="false">
      <c r="G1432" s="25" t="n">
        <v>45057</v>
      </c>
      <c r="H1432" s="52" t="s">
        <v>14</v>
      </c>
      <c r="I1432" s="5" t="n">
        <f aca="false">2450.45-2449.52</f>
        <v>0.929999999999836</v>
      </c>
      <c r="J1432" s="0" t="s">
        <v>40</v>
      </c>
      <c r="K1432" s="0"/>
      <c r="L1432" s="0"/>
      <c r="U1432" s="0"/>
      <c r="V1432" s="0"/>
      <c r="W1432" s="0"/>
      <c r="X1432" s="0"/>
      <c r="Y1432" s="0"/>
    </row>
    <row r="1433" customFormat="false" ht="12.8" hidden="false" customHeight="false" outlineLevel="0" collapsed="false">
      <c r="G1433" s="25" t="n">
        <v>45057</v>
      </c>
      <c r="H1433" s="52" t="s">
        <v>14</v>
      </c>
      <c r="I1433" s="5" t="n">
        <v>-100</v>
      </c>
      <c r="J1433" s="10" t="s">
        <v>66</v>
      </c>
      <c r="K1433" s="0"/>
      <c r="L1433" s="0"/>
      <c r="U1433" s="0"/>
      <c r="V1433" s="0"/>
      <c r="W1433" s="0"/>
      <c r="X1433" s="0"/>
      <c r="Y1433" s="0"/>
    </row>
    <row r="1434" customFormat="false" ht="12.8" hidden="false" customHeight="false" outlineLevel="0" collapsed="false">
      <c r="G1434" s="25" t="n">
        <v>45057</v>
      </c>
      <c r="H1434" s="48" t="s">
        <v>26</v>
      </c>
      <c r="I1434" s="5" t="n">
        <v>100</v>
      </c>
      <c r="J1434" s="10" t="s">
        <v>66</v>
      </c>
      <c r="K1434" s="0"/>
      <c r="L1434" s="0"/>
      <c r="U1434" s="0"/>
      <c r="V1434" s="0"/>
      <c r="W1434" s="0"/>
      <c r="X1434" s="0"/>
      <c r="Y1434" s="0"/>
    </row>
    <row r="1435" customFormat="false" ht="12.8" hidden="false" customHeight="false" outlineLevel="0" collapsed="false">
      <c r="G1435" s="25" t="n">
        <v>45057</v>
      </c>
      <c r="H1435" s="48" t="s">
        <v>26</v>
      </c>
      <c r="I1435" s="5" t="n">
        <v>-28</v>
      </c>
      <c r="J1435" s="55" t="s">
        <v>134</v>
      </c>
      <c r="K1435" s="0"/>
      <c r="L1435" s="0"/>
      <c r="U1435" s="0"/>
      <c r="V1435" s="0"/>
      <c r="W1435" s="0"/>
      <c r="X1435" s="0"/>
      <c r="Y1435" s="0"/>
    </row>
    <row r="1436" customFormat="false" ht="12.8" hidden="false" customHeight="false" outlineLevel="0" collapsed="false">
      <c r="G1436" s="25" t="n">
        <v>45058</v>
      </c>
      <c r="H1436" s="43" t="s">
        <v>23</v>
      </c>
      <c r="I1436" s="5" t="n">
        <v>-56.54</v>
      </c>
      <c r="J1436" s="54" t="s">
        <v>37</v>
      </c>
      <c r="K1436" s="0"/>
      <c r="L1436" s="0"/>
      <c r="U1436" s="0"/>
      <c r="V1436" s="0"/>
      <c r="W1436" s="0"/>
      <c r="X1436" s="0"/>
      <c r="Y1436" s="0"/>
    </row>
    <row r="1437" customFormat="false" ht="12.8" hidden="false" customHeight="false" outlineLevel="0" collapsed="false">
      <c r="G1437" s="3" t="n">
        <v>45058</v>
      </c>
      <c r="H1437" s="48" t="s">
        <v>26</v>
      </c>
      <c r="I1437" s="5" t="n">
        <v>-37.73</v>
      </c>
      <c r="J1437" s="0" t="s">
        <v>37</v>
      </c>
      <c r="K1437" s="55"/>
      <c r="L1437" s="0"/>
      <c r="U1437" s="0"/>
      <c r="V1437" s="0"/>
      <c r="W1437" s="0"/>
      <c r="X1437" s="0"/>
      <c r="Y1437" s="0"/>
    </row>
    <row r="1438" customFormat="false" ht="12.8" hidden="false" customHeight="false" outlineLevel="0" collapsed="false">
      <c r="G1438" s="3" t="n">
        <v>45059</v>
      </c>
      <c r="H1438" s="43" t="s">
        <v>23</v>
      </c>
      <c r="I1438" s="5" t="n">
        <v>-20</v>
      </c>
      <c r="J1438" s="0" t="s">
        <v>115</v>
      </c>
      <c r="K1438" s="0"/>
      <c r="L1438" s="0"/>
      <c r="U1438" s="0"/>
      <c r="V1438" s="0"/>
      <c r="W1438" s="0"/>
      <c r="X1438" s="0"/>
      <c r="Y1438" s="0"/>
    </row>
    <row r="1439" customFormat="false" ht="12.8" hidden="false" customHeight="false" outlineLevel="0" collapsed="false">
      <c r="G1439" s="3" t="n">
        <v>45059</v>
      </c>
      <c r="H1439" s="43" t="s">
        <v>23</v>
      </c>
      <c r="I1439" s="5" t="n">
        <v>-16.66</v>
      </c>
      <c r="J1439" s="54" t="s">
        <v>37</v>
      </c>
      <c r="K1439" s="0"/>
      <c r="L1439" s="0"/>
      <c r="U1439" s="0"/>
      <c r="V1439" s="0"/>
      <c r="W1439" s="0"/>
      <c r="X1439" s="0"/>
      <c r="Y1439" s="0"/>
    </row>
    <row r="1440" customFormat="false" ht="12.8" hidden="false" customHeight="false" outlineLevel="0" collapsed="false">
      <c r="G1440" s="3" t="n">
        <v>45059</v>
      </c>
      <c r="H1440" s="48" t="s">
        <v>26</v>
      </c>
      <c r="I1440" s="5" t="n">
        <v>-21</v>
      </c>
      <c r="J1440" s="54" t="s">
        <v>134</v>
      </c>
      <c r="K1440" s="0"/>
      <c r="L1440" s="0"/>
      <c r="U1440" s="0"/>
      <c r="V1440" s="0"/>
      <c r="W1440" s="0"/>
      <c r="X1440" s="0"/>
      <c r="Y1440" s="0"/>
    </row>
    <row r="1441" customFormat="false" ht="12.8" hidden="false" customHeight="false" outlineLevel="0" collapsed="false">
      <c r="G1441" s="3" t="n">
        <v>45059</v>
      </c>
      <c r="H1441" s="43" t="s">
        <v>23</v>
      </c>
      <c r="I1441" s="5" t="n">
        <v>-20</v>
      </c>
      <c r="J1441" s="54" t="s">
        <v>37</v>
      </c>
      <c r="K1441" s="0"/>
      <c r="L1441" s="0"/>
      <c r="U1441" s="0"/>
      <c r="V1441" s="0"/>
      <c r="W1441" s="0"/>
      <c r="X1441" s="0"/>
      <c r="Y1441" s="0"/>
    </row>
    <row r="1442" customFormat="false" ht="12.8" hidden="false" customHeight="false" outlineLevel="0" collapsed="false">
      <c r="G1442" s="3" t="n">
        <v>45059</v>
      </c>
      <c r="H1442" s="52" t="s">
        <v>14</v>
      </c>
      <c r="I1442" s="5" t="n">
        <f aca="false">2351.03-2350.45</f>
        <v>0.580000000000382</v>
      </c>
      <c r="J1442" s="0" t="s">
        <v>137</v>
      </c>
      <c r="K1442" s="0"/>
      <c r="L1442" s="0"/>
      <c r="U1442" s="0"/>
      <c r="V1442" s="0"/>
      <c r="W1442" s="0"/>
      <c r="X1442" s="0"/>
      <c r="Y1442" s="0"/>
    </row>
    <row r="1443" customFormat="false" ht="12.8" hidden="false" customHeight="false" outlineLevel="0" collapsed="false">
      <c r="G1443" s="3" t="n">
        <v>45059</v>
      </c>
      <c r="H1443" s="48" t="s">
        <v>26</v>
      </c>
      <c r="I1443" s="5" t="n">
        <v>-13</v>
      </c>
      <c r="J1443" s="0" t="s">
        <v>104</v>
      </c>
      <c r="K1443" s="0"/>
      <c r="L1443" s="0"/>
      <c r="U1443" s="0"/>
      <c r="V1443" s="0"/>
      <c r="W1443" s="0"/>
      <c r="X1443" s="0"/>
      <c r="Y1443" s="0"/>
    </row>
    <row r="1444" customFormat="false" ht="12.8" hidden="false" customHeight="false" outlineLevel="0" collapsed="false">
      <c r="G1444" s="3" t="n">
        <v>45059</v>
      </c>
      <c r="H1444" s="52" t="s">
        <v>14</v>
      </c>
      <c r="I1444" s="5" t="n">
        <v>13</v>
      </c>
      <c r="J1444" s="0" t="s">
        <v>104</v>
      </c>
      <c r="K1444" s="0"/>
      <c r="L1444" s="0"/>
      <c r="U1444" s="0"/>
      <c r="V1444" s="0"/>
      <c r="W1444" s="0"/>
      <c r="X1444" s="0"/>
      <c r="Y1444" s="0"/>
    </row>
    <row r="1445" customFormat="false" ht="12.8" hidden="false" customHeight="false" outlineLevel="0" collapsed="false">
      <c r="G1445" s="3" t="n">
        <v>45060</v>
      </c>
      <c r="H1445" s="43" t="s">
        <v>23</v>
      </c>
      <c r="I1445" s="5" t="n">
        <v>-76.52</v>
      </c>
      <c r="J1445" s="54" t="s">
        <v>37</v>
      </c>
      <c r="K1445" s="0"/>
      <c r="L1445" s="0"/>
      <c r="U1445" s="0"/>
      <c r="V1445" s="0"/>
      <c r="W1445" s="0"/>
      <c r="X1445" s="0"/>
      <c r="Y1445" s="0"/>
    </row>
    <row r="1446" customFormat="false" ht="12.8" hidden="false" customHeight="false" outlineLevel="0" collapsed="false">
      <c r="G1446" s="3" t="n">
        <v>45060</v>
      </c>
      <c r="H1446" s="52" t="s">
        <v>14</v>
      </c>
      <c r="I1446" s="5" t="n">
        <v>-100</v>
      </c>
      <c r="J1446" s="10" t="s">
        <v>66</v>
      </c>
      <c r="K1446" s="0"/>
      <c r="L1446" s="0"/>
      <c r="U1446" s="0"/>
      <c r="V1446" s="0"/>
      <c r="W1446" s="0"/>
      <c r="X1446" s="0"/>
      <c r="Y1446" s="0"/>
    </row>
    <row r="1447" customFormat="false" ht="12.8" hidden="false" customHeight="false" outlineLevel="0" collapsed="false">
      <c r="G1447" s="3" t="n">
        <v>45060</v>
      </c>
      <c r="H1447" s="48" t="s">
        <v>26</v>
      </c>
      <c r="I1447" s="5" t="n">
        <v>100</v>
      </c>
      <c r="J1447" s="10" t="s">
        <v>66</v>
      </c>
      <c r="K1447" s="0"/>
      <c r="L1447" s="0"/>
      <c r="U1447" s="0"/>
      <c r="V1447" s="0"/>
      <c r="W1447" s="0"/>
      <c r="X1447" s="0"/>
      <c r="Y1447" s="0"/>
    </row>
    <row r="1448" customFormat="false" ht="12.8" hidden="false" customHeight="false" outlineLevel="0" collapsed="false">
      <c r="G1448" s="3" t="n">
        <v>45060</v>
      </c>
      <c r="H1448" s="52" t="s">
        <v>14</v>
      </c>
      <c r="I1448" s="5" t="n">
        <f aca="false">2264.32-2264.03</f>
        <v>0.289999999999964</v>
      </c>
      <c r="J1448" s="10" t="s">
        <v>40</v>
      </c>
      <c r="K1448" s="0"/>
      <c r="L1448" s="0"/>
      <c r="U1448" s="0"/>
      <c r="V1448" s="0"/>
      <c r="W1448" s="0"/>
      <c r="X1448" s="0"/>
      <c r="Y1448" s="0"/>
    </row>
    <row r="1449" customFormat="false" ht="12.8" hidden="false" customHeight="false" outlineLevel="0" collapsed="false">
      <c r="G1449" s="3" t="n">
        <v>45061</v>
      </c>
      <c r="H1449" s="48" t="s">
        <v>26</v>
      </c>
      <c r="I1449" s="5" t="n">
        <v>-66.74</v>
      </c>
      <c r="J1449" s="0" t="s">
        <v>37</v>
      </c>
      <c r="K1449" s="0"/>
      <c r="L1449" s="0"/>
      <c r="U1449" s="0"/>
      <c r="V1449" s="0"/>
      <c r="W1449" s="0"/>
      <c r="X1449" s="0"/>
      <c r="Y1449" s="0"/>
    </row>
    <row r="1450" customFormat="false" ht="12.8" hidden="false" customHeight="false" outlineLevel="0" collapsed="false">
      <c r="G1450" s="3" t="n">
        <v>45061</v>
      </c>
      <c r="H1450" s="48" t="s">
        <v>26</v>
      </c>
      <c r="I1450" s="5" t="n">
        <v>-33</v>
      </c>
      <c r="J1450" s="0" t="s">
        <v>104</v>
      </c>
      <c r="K1450" s="0"/>
      <c r="L1450" s="0"/>
      <c r="U1450" s="0"/>
      <c r="V1450" s="0"/>
      <c r="W1450" s="0"/>
      <c r="X1450" s="0"/>
      <c r="Y1450" s="0"/>
    </row>
    <row r="1451" customFormat="false" ht="12.8" hidden="false" customHeight="false" outlineLevel="0" collapsed="false">
      <c r="G1451" s="3" t="n">
        <v>45061</v>
      </c>
      <c r="H1451" s="52" t="s">
        <v>14</v>
      </c>
      <c r="I1451" s="5" t="n">
        <v>33</v>
      </c>
      <c r="J1451" s="0" t="s">
        <v>104</v>
      </c>
      <c r="K1451" s="0"/>
      <c r="L1451" s="0"/>
      <c r="U1451" s="0"/>
      <c r="V1451" s="0"/>
      <c r="W1451" s="0"/>
      <c r="X1451" s="0"/>
      <c r="Y1451" s="0"/>
    </row>
    <row r="1452" customFormat="false" ht="12.8" hidden="false" customHeight="false" outlineLevel="0" collapsed="false">
      <c r="G1452" s="3" t="n">
        <v>45061</v>
      </c>
      <c r="H1452" s="43" t="s">
        <v>23</v>
      </c>
      <c r="I1452" s="5" t="n">
        <v>1898</v>
      </c>
      <c r="J1452" s="10" t="s">
        <v>42</v>
      </c>
      <c r="K1452" s="5"/>
      <c r="L1452" s="0"/>
      <c r="U1452" s="0"/>
      <c r="V1452" s="0"/>
      <c r="W1452" s="0"/>
      <c r="X1452" s="0"/>
      <c r="Y1452" s="0"/>
    </row>
    <row r="1453" customFormat="false" ht="12.8" hidden="false" customHeight="false" outlineLevel="0" collapsed="false">
      <c r="G1453" s="3" t="n">
        <v>45061</v>
      </c>
      <c r="H1453" s="43" t="s">
        <v>23</v>
      </c>
      <c r="I1453" s="5" t="n">
        <v>-5</v>
      </c>
      <c r="J1453" s="10" t="s">
        <v>43</v>
      </c>
      <c r="K1453" s="5"/>
      <c r="L1453" s="0"/>
      <c r="U1453" s="0"/>
      <c r="V1453" s="0"/>
      <c r="W1453" s="0"/>
      <c r="X1453" s="0"/>
      <c r="Y1453" s="0"/>
    </row>
    <row r="1454" customFormat="false" ht="12.8" hidden="false" customHeight="false" outlineLevel="0" collapsed="false">
      <c r="G1454" s="3" t="n">
        <v>45061</v>
      </c>
      <c r="H1454" s="43" t="s">
        <v>23</v>
      </c>
      <c r="I1454" s="5" t="n">
        <v>599</v>
      </c>
      <c r="J1454" s="10" t="s">
        <v>42</v>
      </c>
      <c r="K1454" s="0"/>
      <c r="L1454" s="0"/>
      <c r="U1454" s="0"/>
      <c r="V1454" s="0"/>
      <c r="W1454" s="0"/>
      <c r="X1454" s="0"/>
      <c r="Y1454" s="0"/>
    </row>
    <row r="1455" customFormat="false" ht="12.8" hidden="false" customHeight="false" outlineLevel="0" collapsed="false">
      <c r="G1455" s="3" t="n">
        <v>45061</v>
      </c>
      <c r="H1455" s="43" t="s">
        <v>23</v>
      </c>
      <c r="I1455" s="5" t="n">
        <v>-28.81</v>
      </c>
      <c r="J1455" s="0" t="s">
        <v>47</v>
      </c>
      <c r="K1455" s="0"/>
      <c r="L1455" s="0"/>
      <c r="U1455" s="0"/>
      <c r="V1455" s="0"/>
      <c r="W1455" s="0"/>
      <c r="X1455" s="0"/>
      <c r="Y1455" s="0"/>
    </row>
    <row r="1456" customFormat="false" ht="12.8" hidden="false" customHeight="false" outlineLevel="0" collapsed="false">
      <c r="G1456" s="3" t="n">
        <v>45062</v>
      </c>
      <c r="H1456" s="43" t="s">
        <v>23</v>
      </c>
      <c r="I1456" s="5" t="n">
        <f aca="false">-20</f>
        <v>-20</v>
      </c>
      <c r="J1456" s="10" t="s">
        <v>115</v>
      </c>
      <c r="K1456" s="0"/>
      <c r="L1456" s="0"/>
      <c r="U1456" s="0"/>
      <c r="V1456" s="0"/>
      <c r="W1456" s="0"/>
      <c r="X1456" s="0"/>
      <c r="Y1456" s="0"/>
    </row>
    <row r="1457" customFormat="false" ht="12.8" hidden="false" customHeight="false" outlineLevel="0" collapsed="false">
      <c r="G1457" s="3" t="n">
        <v>45062</v>
      </c>
      <c r="H1457" s="43" t="s">
        <v>23</v>
      </c>
      <c r="I1457" s="5" t="n">
        <v>-61.17</v>
      </c>
      <c r="J1457" s="10" t="s">
        <v>37</v>
      </c>
      <c r="K1457" s="0"/>
      <c r="L1457" s="0"/>
      <c r="U1457" s="0"/>
      <c r="V1457" s="0"/>
      <c r="W1457" s="0"/>
      <c r="X1457" s="0"/>
      <c r="Y1457" s="0"/>
    </row>
    <row r="1458" customFormat="false" ht="12.8" hidden="false" customHeight="false" outlineLevel="0" collapsed="false">
      <c r="G1458" s="3" t="n">
        <v>45062</v>
      </c>
      <c r="H1458" s="43" t="s">
        <v>23</v>
      </c>
      <c r="I1458" s="5" t="n">
        <v>-28</v>
      </c>
      <c r="J1458" s="10" t="s">
        <v>134</v>
      </c>
      <c r="K1458" s="0"/>
      <c r="L1458" s="0"/>
      <c r="U1458" s="0"/>
      <c r="V1458" s="0"/>
      <c r="W1458" s="0"/>
      <c r="X1458" s="0"/>
      <c r="Y1458" s="0"/>
    </row>
    <row r="1459" customFormat="false" ht="12.8" hidden="false" customHeight="false" outlineLevel="0" collapsed="false">
      <c r="G1459" s="3" t="n">
        <v>45063</v>
      </c>
      <c r="H1459" s="43" t="s">
        <v>23</v>
      </c>
      <c r="I1459" s="5" t="n">
        <v>-40</v>
      </c>
      <c r="J1459" s="10" t="s">
        <v>115</v>
      </c>
      <c r="K1459" s="0"/>
      <c r="L1459" s="0"/>
      <c r="U1459" s="0"/>
      <c r="V1459" s="0"/>
      <c r="W1459" s="0"/>
      <c r="X1459" s="0"/>
      <c r="Y1459" s="0"/>
    </row>
    <row r="1460" customFormat="false" ht="12.8" hidden="false" customHeight="false" outlineLevel="0" collapsed="false">
      <c r="G1460" s="3" t="n">
        <v>45063</v>
      </c>
      <c r="H1460" s="43" t="s">
        <v>23</v>
      </c>
      <c r="I1460" s="5" t="n">
        <v>-45.23</v>
      </c>
      <c r="J1460" s="10" t="s">
        <v>37</v>
      </c>
      <c r="K1460" s="0"/>
      <c r="L1460" s="0"/>
      <c r="U1460" s="0"/>
      <c r="V1460" s="0"/>
      <c r="W1460" s="0"/>
      <c r="X1460" s="0"/>
      <c r="Y1460" s="0"/>
    </row>
    <row r="1461" customFormat="false" ht="12.8" hidden="false" customHeight="false" outlineLevel="0" collapsed="false">
      <c r="G1461" s="3" t="n">
        <v>45064</v>
      </c>
      <c r="H1461" s="43" t="s">
        <v>23</v>
      </c>
      <c r="I1461" s="5" t="n">
        <v>-40</v>
      </c>
      <c r="J1461" s="10" t="s">
        <v>115</v>
      </c>
      <c r="K1461" s="0"/>
      <c r="L1461" s="0"/>
      <c r="U1461" s="0"/>
      <c r="V1461" s="0"/>
      <c r="W1461" s="0"/>
      <c r="X1461" s="0"/>
      <c r="Y1461" s="0"/>
    </row>
    <row r="1462" customFormat="false" ht="12.8" hidden="false" customHeight="false" outlineLevel="0" collapsed="false">
      <c r="G1462" s="3" t="n">
        <v>45064</v>
      </c>
      <c r="H1462" s="43" t="s">
        <v>23</v>
      </c>
      <c r="I1462" s="5" t="n">
        <v>-44.46</v>
      </c>
      <c r="J1462" s="10" t="s">
        <v>37</v>
      </c>
      <c r="K1462" s="0"/>
      <c r="L1462" s="0"/>
      <c r="U1462" s="0"/>
      <c r="V1462" s="0"/>
      <c r="W1462" s="0"/>
      <c r="X1462" s="0"/>
      <c r="Y1462" s="0"/>
    </row>
    <row r="1463" customFormat="false" ht="12.8" hidden="false" customHeight="false" outlineLevel="0" collapsed="false">
      <c r="G1463" s="3" t="n">
        <v>45064</v>
      </c>
      <c r="H1463" s="43" t="s">
        <v>23</v>
      </c>
      <c r="I1463" s="5" t="n">
        <v>-21</v>
      </c>
      <c r="J1463" s="10" t="s">
        <v>134</v>
      </c>
      <c r="K1463" s="0"/>
      <c r="L1463" s="0"/>
      <c r="U1463" s="0"/>
      <c r="V1463" s="0"/>
      <c r="W1463" s="0"/>
      <c r="X1463" s="0"/>
      <c r="Y1463" s="0"/>
    </row>
    <row r="1464" customFormat="false" ht="12.8" hidden="false" customHeight="false" outlineLevel="0" collapsed="false">
      <c r="G1464" s="3" t="n">
        <v>45064</v>
      </c>
      <c r="H1464" s="43" t="s">
        <v>23</v>
      </c>
      <c r="I1464" s="5" t="n">
        <v>-438.92</v>
      </c>
      <c r="J1464" s="0" t="s">
        <v>52</v>
      </c>
      <c r="K1464" s="0"/>
      <c r="L1464" s="0"/>
      <c r="U1464" s="0"/>
      <c r="V1464" s="0"/>
      <c r="W1464" s="0"/>
      <c r="X1464" s="0"/>
      <c r="Y1464" s="0"/>
    </row>
    <row r="1465" customFormat="false" ht="12.8" hidden="false" customHeight="false" outlineLevel="0" collapsed="false">
      <c r="G1465" s="3" t="n">
        <v>45065</v>
      </c>
      <c r="H1465" s="43" t="s">
        <v>23</v>
      </c>
      <c r="I1465" s="5" t="n">
        <v>-20</v>
      </c>
      <c r="J1465" s="10" t="s">
        <v>115</v>
      </c>
      <c r="K1465" s="0"/>
      <c r="L1465" s="0"/>
      <c r="U1465" s="0"/>
      <c r="V1465" s="0"/>
      <c r="W1465" s="0"/>
      <c r="X1465" s="0"/>
      <c r="Y1465" s="0"/>
    </row>
    <row r="1466" customFormat="false" ht="12.8" hidden="false" customHeight="false" outlineLevel="0" collapsed="false">
      <c r="G1466" s="3" t="n">
        <v>45065</v>
      </c>
      <c r="H1466" s="43" t="s">
        <v>23</v>
      </c>
      <c r="I1466" s="5" t="n">
        <f aca="false">-12.44-28.8</f>
        <v>-41.24</v>
      </c>
      <c r="J1466" s="10" t="s">
        <v>37</v>
      </c>
      <c r="K1466" s="0"/>
      <c r="L1466" s="0"/>
      <c r="U1466" s="0"/>
      <c r="V1466" s="0"/>
      <c r="W1466" s="0"/>
      <c r="X1466" s="0"/>
      <c r="Y1466" s="0"/>
    </row>
    <row r="1467" customFormat="false" ht="12.8" hidden="false" customHeight="false" outlineLevel="0" collapsed="false">
      <c r="G1467" s="3" t="n">
        <v>45066</v>
      </c>
      <c r="H1467" s="43" t="s">
        <v>23</v>
      </c>
      <c r="I1467" s="5" t="n">
        <v>-40</v>
      </c>
      <c r="J1467" s="10" t="s">
        <v>115</v>
      </c>
      <c r="K1467" s="0"/>
      <c r="L1467" s="0"/>
      <c r="U1467" s="0"/>
      <c r="V1467" s="0"/>
      <c r="W1467" s="0"/>
      <c r="X1467" s="0"/>
      <c r="Y1467" s="0"/>
    </row>
    <row r="1468" customFormat="false" ht="12.8" hidden="false" customHeight="false" outlineLevel="0" collapsed="false">
      <c r="G1468" s="3" t="n">
        <v>45066</v>
      </c>
      <c r="H1468" s="43" t="s">
        <v>23</v>
      </c>
      <c r="I1468" s="5" t="n">
        <v>-33.56</v>
      </c>
      <c r="J1468" s="10" t="s">
        <v>37</v>
      </c>
      <c r="K1468" s="0"/>
      <c r="L1468" s="0"/>
      <c r="U1468" s="0"/>
      <c r="V1468" s="0"/>
      <c r="W1468" s="0"/>
      <c r="X1468" s="0"/>
      <c r="Y1468" s="0"/>
    </row>
    <row r="1469" customFormat="false" ht="12.8" hidden="false" customHeight="false" outlineLevel="0" collapsed="false">
      <c r="G1469" s="3" t="n">
        <v>45066</v>
      </c>
      <c r="H1469" s="43" t="s">
        <v>23</v>
      </c>
      <c r="I1469" s="5" t="n">
        <v>-13.14</v>
      </c>
      <c r="J1469" s="10" t="s">
        <v>37</v>
      </c>
      <c r="K1469" s="0"/>
      <c r="L1469" s="0"/>
      <c r="U1469" s="0"/>
      <c r="V1469" s="0"/>
      <c r="W1469" s="0"/>
      <c r="X1469" s="0"/>
      <c r="Y1469" s="0"/>
    </row>
    <row r="1470" customFormat="false" ht="12.8" hidden="false" customHeight="false" outlineLevel="0" collapsed="false">
      <c r="G1470" s="3" t="n">
        <v>45067</v>
      </c>
      <c r="H1470" s="43" t="s">
        <v>23</v>
      </c>
      <c r="I1470" s="5" t="n">
        <v>-40</v>
      </c>
      <c r="J1470" s="10" t="s">
        <v>115</v>
      </c>
      <c r="K1470" s="0"/>
      <c r="L1470" s="0"/>
      <c r="U1470" s="0"/>
      <c r="V1470" s="0"/>
      <c r="W1470" s="0"/>
      <c r="X1470" s="0"/>
      <c r="Y1470" s="0"/>
    </row>
    <row r="1471" customFormat="false" ht="12.8" hidden="false" customHeight="false" outlineLevel="0" collapsed="false">
      <c r="G1471" s="3" t="n">
        <v>45067</v>
      </c>
      <c r="H1471" s="43" t="s">
        <v>23</v>
      </c>
      <c r="I1471" s="5" t="n">
        <v>-96.41</v>
      </c>
      <c r="J1471" s="0" t="s">
        <v>53</v>
      </c>
      <c r="K1471" s="0"/>
      <c r="L1471" s="0"/>
      <c r="U1471" s="0"/>
      <c r="V1471" s="0"/>
      <c r="W1471" s="0"/>
      <c r="X1471" s="0"/>
      <c r="Y1471" s="0"/>
    </row>
    <row r="1472" customFormat="false" ht="12.8" hidden="false" customHeight="false" outlineLevel="0" collapsed="false">
      <c r="G1472" s="3" t="n">
        <v>45067</v>
      </c>
      <c r="H1472" s="43" t="s">
        <v>23</v>
      </c>
      <c r="I1472" s="5" t="n">
        <v>-39.12</v>
      </c>
      <c r="J1472" s="10" t="s">
        <v>37</v>
      </c>
      <c r="K1472" s="0"/>
      <c r="L1472" s="0"/>
      <c r="U1472" s="0"/>
      <c r="V1472" s="0"/>
      <c r="W1472" s="0"/>
      <c r="X1472" s="0"/>
      <c r="Y1472" s="0"/>
    </row>
    <row r="1473" customFormat="false" ht="12.8" hidden="false" customHeight="false" outlineLevel="0" collapsed="false">
      <c r="G1473" s="3" t="n">
        <v>45067</v>
      </c>
      <c r="H1473" s="43" t="s">
        <v>23</v>
      </c>
      <c r="I1473" s="5" t="n">
        <v>-28</v>
      </c>
      <c r="J1473" s="10" t="s">
        <v>134</v>
      </c>
      <c r="K1473" s="0"/>
      <c r="L1473" s="0"/>
      <c r="U1473" s="0"/>
      <c r="V1473" s="0"/>
      <c r="W1473" s="0"/>
      <c r="X1473" s="0"/>
      <c r="Y1473" s="0"/>
    </row>
    <row r="1474" customFormat="false" ht="12.8" hidden="false" customHeight="false" outlineLevel="0" collapsed="false">
      <c r="G1474" s="3" t="n">
        <v>45067</v>
      </c>
      <c r="H1474" s="43" t="s">
        <v>23</v>
      </c>
      <c r="I1474" s="5" t="n">
        <v>-23.06</v>
      </c>
      <c r="J1474" s="0" t="s">
        <v>37</v>
      </c>
      <c r="K1474" s="0"/>
      <c r="L1474" s="0"/>
      <c r="U1474" s="0"/>
      <c r="V1474" s="0"/>
      <c r="W1474" s="0"/>
      <c r="X1474" s="0"/>
      <c r="Y1474" s="0"/>
    </row>
    <row r="1475" customFormat="false" ht="12.8" hidden="false" customHeight="false" outlineLevel="0" collapsed="false">
      <c r="G1475" s="3" t="n">
        <v>45068</v>
      </c>
      <c r="H1475" s="43" t="s">
        <v>23</v>
      </c>
      <c r="I1475" s="5" t="n">
        <v>-40</v>
      </c>
      <c r="J1475" s="10" t="s">
        <v>115</v>
      </c>
      <c r="K1475" s="0"/>
      <c r="L1475" s="0"/>
      <c r="U1475" s="0"/>
      <c r="V1475" s="0"/>
      <c r="W1475" s="0"/>
      <c r="X1475" s="0"/>
      <c r="Y1475" s="0"/>
    </row>
    <row r="1476" customFormat="false" ht="12.8" hidden="false" customHeight="false" outlineLevel="0" collapsed="false">
      <c r="G1476" s="3" t="n">
        <v>45068</v>
      </c>
      <c r="H1476" s="43" t="s">
        <v>23</v>
      </c>
      <c r="I1476" s="5" t="n">
        <v>-29.53</v>
      </c>
      <c r="J1476" s="10" t="s">
        <v>37</v>
      </c>
      <c r="K1476" s="0"/>
      <c r="L1476" s="0"/>
      <c r="U1476" s="0"/>
      <c r="V1476" s="0"/>
      <c r="W1476" s="0"/>
      <c r="X1476" s="0"/>
      <c r="Y1476" s="0"/>
    </row>
    <row r="1477" customFormat="false" ht="12.8" hidden="false" customHeight="false" outlineLevel="0" collapsed="false">
      <c r="G1477" s="3" t="n">
        <v>45069</v>
      </c>
      <c r="H1477" s="43" t="s">
        <v>23</v>
      </c>
      <c r="I1477" s="5" t="n">
        <v>-40</v>
      </c>
      <c r="J1477" s="10" t="s">
        <v>115</v>
      </c>
      <c r="K1477" s="0"/>
      <c r="L1477" s="0"/>
      <c r="U1477" s="0"/>
      <c r="V1477" s="0"/>
      <c r="W1477" s="0"/>
      <c r="X1477" s="0"/>
      <c r="Y1477" s="0"/>
    </row>
    <row r="1478" customFormat="false" ht="12.8" hidden="false" customHeight="false" outlineLevel="0" collapsed="false">
      <c r="G1478" s="3" t="n">
        <v>45069</v>
      </c>
      <c r="H1478" s="43" t="s">
        <v>23</v>
      </c>
      <c r="I1478" s="5" t="n">
        <v>-33.96</v>
      </c>
      <c r="J1478" s="10" t="s">
        <v>37</v>
      </c>
      <c r="K1478" s="0"/>
      <c r="L1478" s="0"/>
      <c r="U1478" s="0"/>
      <c r="V1478" s="0"/>
      <c r="W1478" s="0"/>
      <c r="X1478" s="0"/>
      <c r="Y1478" s="0"/>
    </row>
    <row r="1479" customFormat="false" ht="12.8" hidden="false" customHeight="false" outlineLevel="0" collapsed="false">
      <c r="G1479" s="3" t="n">
        <v>45070</v>
      </c>
      <c r="H1479" s="26" t="s">
        <v>10</v>
      </c>
      <c r="I1479" s="5" t="n">
        <v>-150</v>
      </c>
      <c r="J1479" s="54" t="s">
        <v>54</v>
      </c>
      <c r="K1479" s="0"/>
      <c r="L1479" s="0"/>
      <c r="U1479" s="0"/>
      <c r="V1479" s="0"/>
      <c r="W1479" s="0"/>
      <c r="X1479" s="0"/>
      <c r="Y1479" s="0"/>
    </row>
    <row r="1480" customFormat="false" ht="12.8" hidden="false" customHeight="false" outlineLevel="0" collapsed="false">
      <c r="G1480" s="3" t="n">
        <v>45070</v>
      </c>
      <c r="H1480" s="32" t="s">
        <v>15</v>
      </c>
      <c r="I1480" s="5" t="n">
        <v>150</v>
      </c>
      <c r="J1480" s="54" t="s">
        <v>54</v>
      </c>
      <c r="K1480" s="0"/>
      <c r="L1480" s="0"/>
      <c r="U1480" s="0"/>
      <c r="V1480" s="0"/>
      <c r="W1480" s="0"/>
      <c r="X1480" s="0"/>
      <c r="Y1480" s="0"/>
    </row>
    <row r="1481" customFormat="false" ht="12.8" hidden="false" customHeight="false" outlineLevel="0" collapsed="false">
      <c r="G1481" s="3" t="n">
        <v>45070</v>
      </c>
      <c r="H1481" s="43" t="s">
        <v>23</v>
      </c>
      <c r="I1481" s="5" t="n">
        <v>-20</v>
      </c>
      <c r="J1481" s="10" t="s">
        <v>115</v>
      </c>
      <c r="K1481" s="0"/>
      <c r="U1481" s="0"/>
      <c r="V1481" s="0"/>
      <c r="W1481" s="0"/>
      <c r="X1481" s="0"/>
      <c r="Y1481" s="0"/>
    </row>
    <row r="1482" customFormat="false" ht="12.8" hidden="false" customHeight="false" outlineLevel="0" collapsed="false">
      <c r="G1482" s="3" t="n">
        <v>45070</v>
      </c>
      <c r="H1482" s="43" t="s">
        <v>23</v>
      </c>
      <c r="I1482" s="5" t="n">
        <v>-30</v>
      </c>
      <c r="J1482" s="10" t="s">
        <v>46</v>
      </c>
      <c r="K1482" s="0"/>
      <c r="U1482" s="0"/>
      <c r="V1482" s="0"/>
      <c r="W1482" s="0"/>
      <c r="X1482" s="0"/>
      <c r="Y1482" s="0"/>
    </row>
    <row r="1483" customFormat="false" ht="12.8" hidden="false" customHeight="false" outlineLevel="0" collapsed="false">
      <c r="G1483" s="3" t="n">
        <v>45070</v>
      </c>
      <c r="H1483" s="43" t="s">
        <v>23</v>
      </c>
      <c r="I1483" s="5" t="n">
        <v>-14.94</v>
      </c>
      <c r="J1483" s="10" t="s">
        <v>37</v>
      </c>
      <c r="K1483" s="0"/>
      <c r="U1483" s="0"/>
      <c r="V1483" s="0"/>
      <c r="W1483" s="0"/>
      <c r="X1483" s="0"/>
      <c r="Y1483" s="0"/>
    </row>
    <row r="1484" customFormat="false" ht="12.8" hidden="false" customHeight="false" outlineLevel="0" collapsed="false">
      <c r="G1484" s="3" t="n">
        <v>45071</v>
      </c>
      <c r="H1484" s="32" t="s">
        <v>15</v>
      </c>
      <c r="I1484" s="5" t="n">
        <v>-150</v>
      </c>
      <c r="J1484" s="0" t="s">
        <v>138</v>
      </c>
      <c r="K1484" s="0"/>
      <c r="L1484" s="0"/>
      <c r="U1484" s="0"/>
      <c r="V1484" s="0"/>
      <c r="W1484" s="0"/>
      <c r="X1484" s="0"/>
      <c r="Y1484" s="0"/>
    </row>
    <row r="1485" customFormat="false" ht="12.8" hidden="false" customHeight="false" outlineLevel="0" collapsed="false">
      <c r="G1485" s="3" t="n">
        <v>45071</v>
      </c>
      <c r="H1485" s="43" t="s">
        <v>23</v>
      </c>
      <c r="I1485" s="5" t="n">
        <v>-40</v>
      </c>
      <c r="J1485" s="10" t="s">
        <v>115</v>
      </c>
      <c r="K1485" s="0"/>
      <c r="L1485" s="0"/>
      <c r="U1485" s="0"/>
      <c r="V1485" s="0"/>
      <c r="W1485" s="0"/>
      <c r="X1485" s="0"/>
      <c r="Y1485" s="0"/>
    </row>
    <row r="1486" customFormat="false" ht="12.8" hidden="false" customHeight="false" outlineLevel="0" collapsed="false">
      <c r="G1486" s="3" t="n">
        <v>45071</v>
      </c>
      <c r="H1486" s="43" t="s">
        <v>23</v>
      </c>
      <c r="I1486" s="5" t="n">
        <v>-35.13</v>
      </c>
      <c r="J1486" s="10" t="s">
        <v>37</v>
      </c>
      <c r="K1486" s="0"/>
      <c r="L1486" s="0"/>
      <c r="U1486" s="0"/>
      <c r="V1486" s="0"/>
      <c r="W1486" s="0"/>
      <c r="X1486" s="0"/>
      <c r="Y1486" s="0"/>
    </row>
    <row r="1487" customFormat="false" ht="12.8" hidden="false" customHeight="false" outlineLevel="0" collapsed="false">
      <c r="G1487" s="3" t="n">
        <v>45072</v>
      </c>
      <c r="H1487" s="43" t="s">
        <v>23</v>
      </c>
      <c r="I1487" s="5" t="n">
        <v>-40</v>
      </c>
      <c r="J1487" s="10" t="s">
        <v>115</v>
      </c>
      <c r="K1487" s="0"/>
      <c r="L1487" s="0"/>
      <c r="U1487" s="0"/>
      <c r="V1487" s="0"/>
      <c r="W1487" s="0"/>
      <c r="X1487" s="0"/>
      <c r="Y1487" s="0"/>
    </row>
    <row r="1488" customFormat="false" ht="12.8" hidden="false" customHeight="false" outlineLevel="0" collapsed="false">
      <c r="G1488" s="3" t="n">
        <v>45072</v>
      </c>
      <c r="H1488" s="52" t="s">
        <v>14</v>
      </c>
      <c r="I1488" s="5" t="n">
        <f aca="false">2300.72-2297.32</f>
        <v>3.39999999999964</v>
      </c>
      <c r="J1488" s="10" t="s">
        <v>40</v>
      </c>
      <c r="K1488" s="0"/>
      <c r="L1488" s="0"/>
      <c r="U1488" s="0"/>
      <c r="V1488" s="0"/>
      <c r="W1488" s="0"/>
      <c r="X1488" s="0"/>
      <c r="Y1488" s="0"/>
    </row>
    <row r="1489" customFormat="false" ht="12.8" hidden="false" customHeight="false" outlineLevel="0" collapsed="false">
      <c r="G1489" s="3" t="n">
        <v>45072</v>
      </c>
      <c r="H1489" s="43" t="s">
        <v>23</v>
      </c>
      <c r="I1489" s="5" t="n">
        <v>-23.31</v>
      </c>
      <c r="J1489" s="10" t="s">
        <v>37</v>
      </c>
      <c r="K1489" s="0"/>
      <c r="L1489" s="0"/>
      <c r="U1489" s="0"/>
      <c r="V1489" s="0"/>
      <c r="W1489" s="0"/>
      <c r="X1489" s="0"/>
      <c r="Y1489" s="0"/>
    </row>
    <row r="1490" customFormat="false" ht="12.8" hidden="false" customHeight="false" outlineLevel="0" collapsed="false">
      <c r="G1490" s="3" t="n">
        <v>45072</v>
      </c>
      <c r="H1490" s="43" t="s">
        <v>23</v>
      </c>
      <c r="I1490" s="5" t="n">
        <v>-9.29</v>
      </c>
      <c r="J1490" s="10" t="s">
        <v>37</v>
      </c>
      <c r="K1490" s="0"/>
      <c r="L1490" s="0"/>
      <c r="U1490" s="0"/>
      <c r="V1490" s="0"/>
      <c r="W1490" s="0"/>
      <c r="X1490" s="0"/>
      <c r="Y1490" s="0"/>
    </row>
    <row r="1491" customFormat="false" ht="12.8" hidden="false" customHeight="false" outlineLevel="0" collapsed="false">
      <c r="G1491" s="3" t="n">
        <v>45072</v>
      </c>
      <c r="H1491" s="43" t="s">
        <v>23</v>
      </c>
      <c r="I1491" s="5" t="n">
        <v>-28</v>
      </c>
      <c r="J1491" s="10" t="s">
        <v>134</v>
      </c>
      <c r="K1491" s="0"/>
      <c r="L1491" s="0"/>
      <c r="U1491" s="0"/>
      <c r="V1491" s="0"/>
      <c r="W1491" s="0"/>
      <c r="X1491" s="0"/>
      <c r="Y1491" s="0"/>
    </row>
    <row r="1492" customFormat="false" ht="12.8" hidden="false" customHeight="false" outlineLevel="0" collapsed="false">
      <c r="G1492" s="3" t="n">
        <v>45073</v>
      </c>
      <c r="H1492" s="52" t="s">
        <v>14</v>
      </c>
      <c r="I1492" s="5" t="n">
        <v>-65</v>
      </c>
      <c r="J1492" s="10" t="s">
        <v>66</v>
      </c>
      <c r="K1492" s="0"/>
      <c r="L1492" s="0"/>
      <c r="U1492" s="0"/>
      <c r="V1492" s="0"/>
      <c r="W1492" s="0"/>
      <c r="X1492" s="0"/>
      <c r="Y1492" s="0"/>
    </row>
    <row r="1493" customFormat="false" ht="12.8" hidden="false" customHeight="false" outlineLevel="0" collapsed="false">
      <c r="G1493" s="3" t="n">
        <v>45073</v>
      </c>
      <c r="H1493" s="48" t="s">
        <v>26</v>
      </c>
      <c r="I1493" s="5" t="n">
        <v>65</v>
      </c>
      <c r="J1493" s="10" t="s">
        <v>66</v>
      </c>
      <c r="K1493" s="0"/>
      <c r="L1493" s="0"/>
      <c r="U1493" s="0"/>
      <c r="V1493" s="0"/>
      <c r="W1493" s="0"/>
      <c r="X1493" s="0"/>
      <c r="Y1493" s="0"/>
    </row>
    <row r="1494" customFormat="false" ht="12.8" hidden="false" customHeight="false" outlineLevel="0" collapsed="false">
      <c r="G1494" s="3" t="n">
        <v>45073</v>
      </c>
      <c r="H1494" s="43" t="s">
        <v>23</v>
      </c>
      <c r="I1494" s="5" t="n">
        <v>-40</v>
      </c>
      <c r="J1494" s="10" t="s">
        <v>115</v>
      </c>
      <c r="K1494" s="0"/>
      <c r="L1494" s="0"/>
      <c r="U1494" s="0"/>
      <c r="V1494" s="0"/>
      <c r="W1494" s="0"/>
      <c r="X1494" s="0"/>
      <c r="Y1494" s="0"/>
    </row>
    <row r="1495" customFormat="false" ht="12.8" hidden="false" customHeight="false" outlineLevel="0" collapsed="false">
      <c r="G1495" s="3" t="n">
        <v>45073</v>
      </c>
      <c r="H1495" s="43" t="s">
        <v>23</v>
      </c>
      <c r="I1495" s="5" t="n">
        <v>-73.8</v>
      </c>
      <c r="J1495" s="10" t="s">
        <v>48</v>
      </c>
      <c r="K1495" s="0"/>
      <c r="L1495" s="0"/>
      <c r="U1495" s="0"/>
      <c r="V1495" s="0"/>
      <c r="W1495" s="0"/>
      <c r="X1495" s="0"/>
      <c r="Y1495" s="0"/>
    </row>
    <row r="1496" customFormat="false" ht="12.8" hidden="false" customHeight="false" outlineLevel="0" collapsed="false">
      <c r="G1496" s="3" t="n">
        <v>45073</v>
      </c>
      <c r="H1496" s="43" t="s">
        <v>23</v>
      </c>
      <c r="I1496" s="5" t="n">
        <v>-33.94</v>
      </c>
      <c r="J1496" s="0" t="s">
        <v>37</v>
      </c>
      <c r="K1496" s="0"/>
      <c r="L1496" s="0"/>
      <c r="U1496" s="0"/>
      <c r="V1496" s="0"/>
      <c r="W1496" s="0"/>
      <c r="X1496" s="0"/>
      <c r="Y1496" s="0"/>
    </row>
    <row r="1497" customFormat="false" ht="12.8" hidden="false" customHeight="false" outlineLevel="0" collapsed="false">
      <c r="G1497" s="3" t="n">
        <v>45074</v>
      </c>
      <c r="H1497" s="48" t="s">
        <v>26</v>
      </c>
      <c r="I1497" s="5" t="n">
        <v>-50</v>
      </c>
      <c r="J1497" s="0" t="s">
        <v>139</v>
      </c>
      <c r="K1497" s="0"/>
      <c r="L1497" s="0"/>
      <c r="U1497" s="0"/>
      <c r="V1497" s="0"/>
      <c r="W1497" s="0"/>
      <c r="X1497" s="0"/>
      <c r="Y1497" s="0"/>
    </row>
    <row r="1498" customFormat="false" ht="12.8" hidden="false" customHeight="false" outlineLevel="0" collapsed="false">
      <c r="G1498" s="3" t="n">
        <v>45074</v>
      </c>
      <c r="H1498" s="52" t="s">
        <v>14</v>
      </c>
      <c r="I1498" s="5" t="n">
        <v>50</v>
      </c>
      <c r="J1498" s="55" t="s">
        <v>139</v>
      </c>
      <c r="K1498" s="0"/>
      <c r="L1498" s="0"/>
      <c r="U1498" s="0"/>
      <c r="V1498" s="0"/>
      <c r="W1498" s="0"/>
      <c r="X1498" s="0"/>
      <c r="Y1498" s="0"/>
    </row>
    <row r="1499" customFormat="false" ht="12.8" hidden="false" customHeight="false" outlineLevel="0" collapsed="false">
      <c r="G1499" s="3" t="n">
        <v>45074</v>
      </c>
      <c r="H1499" s="52" t="s">
        <v>14</v>
      </c>
      <c r="I1499" s="5" t="n">
        <f aca="false">2286.29-2285.72</f>
        <v>0.570000000000164</v>
      </c>
      <c r="J1499" s="0" t="s">
        <v>40</v>
      </c>
      <c r="K1499" s="0"/>
      <c r="L1499" s="0"/>
      <c r="U1499" s="0"/>
      <c r="V1499" s="0"/>
      <c r="W1499" s="0"/>
      <c r="X1499" s="0"/>
      <c r="Y1499" s="0"/>
    </row>
    <row r="1500" customFormat="false" ht="12.8" hidden="false" customHeight="false" outlineLevel="0" collapsed="false">
      <c r="G1500" s="3" t="n">
        <v>45074</v>
      </c>
      <c r="H1500" s="43" t="s">
        <v>23</v>
      </c>
      <c r="I1500" s="5" t="n">
        <v>-20</v>
      </c>
      <c r="J1500" s="10" t="s">
        <v>115</v>
      </c>
      <c r="K1500" s="0"/>
      <c r="L1500" s="0"/>
      <c r="U1500" s="0"/>
      <c r="V1500" s="0"/>
      <c r="W1500" s="0"/>
      <c r="X1500" s="0"/>
      <c r="Y1500" s="0"/>
    </row>
    <row r="1501" customFormat="false" ht="12.8" hidden="false" customHeight="false" outlineLevel="0" collapsed="false">
      <c r="G1501" s="3" t="n">
        <v>45074</v>
      </c>
      <c r="H1501" s="43" t="s">
        <v>23</v>
      </c>
      <c r="I1501" s="5" t="n">
        <v>-20.28</v>
      </c>
      <c r="J1501" s="10" t="s">
        <v>37</v>
      </c>
      <c r="K1501" s="0"/>
      <c r="L1501" s="0"/>
      <c r="U1501" s="0"/>
      <c r="V1501" s="0"/>
      <c r="W1501" s="0"/>
      <c r="X1501" s="0"/>
      <c r="Y1501" s="0"/>
    </row>
    <row r="1502" customFormat="false" ht="12.8" hidden="false" customHeight="false" outlineLevel="0" collapsed="false">
      <c r="G1502" s="3" t="n">
        <v>45074</v>
      </c>
      <c r="H1502" s="43" t="s">
        <v>23</v>
      </c>
      <c r="I1502" s="5" t="n">
        <v>-14.29</v>
      </c>
      <c r="J1502" s="10" t="s">
        <v>37</v>
      </c>
      <c r="K1502" s="0"/>
      <c r="L1502" s="0"/>
      <c r="U1502" s="0"/>
      <c r="V1502" s="0"/>
      <c r="W1502" s="0"/>
      <c r="X1502" s="0"/>
      <c r="Y1502" s="0"/>
    </row>
    <row r="1503" customFormat="false" ht="12.8" hidden="false" customHeight="false" outlineLevel="0" collapsed="false">
      <c r="G1503" s="3" t="n">
        <v>45075</v>
      </c>
      <c r="H1503" s="43" t="s">
        <v>23</v>
      </c>
      <c r="I1503" s="5" t="n">
        <v>-40</v>
      </c>
      <c r="J1503" s="10" t="s">
        <v>115</v>
      </c>
      <c r="K1503" s="0"/>
      <c r="L1503" s="0"/>
      <c r="U1503" s="0"/>
      <c r="V1503" s="0"/>
      <c r="W1503" s="0"/>
      <c r="X1503" s="0"/>
      <c r="Y1503" s="0"/>
    </row>
    <row r="1504" customFormat="false" ht="12.8" hidden="false" customHeight="false" outlineLevel="0" collapsed="false">
      <c r="G1504" s="3" t="n">
        <v>45075</v>
      </c>
      <c r="H1504" s="43" t="s">
        <v>23</v>
      </c>
      <c r="I1504" s="5" t="n">
        <v>-20.07</v>
      </c>
      <c r="J1504" s="10" t="s">
        <v>37</v>
      </c>
      <c r="K1504" s="0"/>
      <c r="L1504" s="0"/>
      <c r="U1504" s="0"/>
      <c r="V1504" s="0"/>
      <c r="W1504" s="0"/>
      <c r="X1504" s="0"/>
      <c r="Y1504" s="0"/>
    </row>
    <row r="1505" customFormat="false" ht="12.8" hidden="false" customHeight="false" outlineLevel="0" collapsed="false">
      <c r="G1505" s="3" t="n">
        <v>45075</v>
      </c>
      <c r="H1505" s="43" t="s">
        <v>23</v>
      </c>
      <c r="I1505" s="5" t="n">
        <v>-28</v>
      </c>
      <c r="J1505" s="10" t="s">
        <v>134</v>
      </c>
      <c r="K1505" s="0"/>
      <c r="L1505" s="0"/>
      <c r="U1505" s="0"/>
      <c r="V1505" s="0"/>
      <c r="W1505" s="0"/>
      <c r="X1505" s="0"/>
      <c r="Y1505" s="0"/>
    </row>
    <row r="1506" customFormat="false" ht="12.8" hidden="false" customHeight="false" outlineLevel="0" collapsed="false">
      <c r="G1506" s="3" t="n">
        <v>45076</v>
      </c>
      <c r="H1506" s="43" t="s">
        <v>23</v>
      </c>
      <c r="I1506" s="5" t="n">
        <v>-40</v>
      </c>
      <c r="J1506" s="10" t="s">
        <v>115</v>
      </c>
      <c r="K1506" s="0"/>
      <c r="L1506" s="0"/>
      <c r="U1506" s="0"/>
      <c r="V1506" s="0"/>
      <c r="W1506" s="0"/>
      <c r="X1506" s="0"/>
      <c r="Y1506" s="0"/>
    </row>
    <row r="1507" customFormat="false" ht="12.8" hidden="false" customHeight="false" outlineLevel="0" collapsed="false">
      <c r="G1507" s="3" t="n">
        <v>45076</v>
      </c>
      <c r="H1507" s="43" t="s">
        <v>23</v>
      </c>
      <c r="I1507" s="5" t="n">
        <v>-18.83</v>
      </c>
      <c r="J1507" s="10" t="s">
        <v>37</v>
      </c>
      <c r="K1507" s="0"/>
      <c r="L1507" s="0"/>
      <c r="U1507" s="0"/>
      <c r="V1507" s="0"/>
      <c r="W1507" s="0"/>
      <c r="X1507" s="0"/>
      <c r="Y1507" s="0"/>
    </row>
    <row r="1508" customFormat="false" ht="12.8" hidden="false" customHeight="false" outlineLevel="0" collapsed="false">
      <c r="G1508" s="3" t="n">
        <v>45076</v>
      </c>
      <c r="H1508" s="43" t="s">
        <v>23</v>
      </c>
      <c r="I1508" s="5" t="n">
        <v>-7.99</v>
      </c>
      <c r="J1508" s="10" t="s">
        <v>37</v>
      </c>
      <c r="K1508" s="0"/>
      <c r="L1508" s="0"/>
      <c r="U1508" s="0"/>
      <c r="V1508" s="0"/>
      <c r="W1508" s="0"/>
      <c r="X1508" s="0"/>
      <c r="Y1508" s="0"/>
    </row>
    <row r="1509" customFormat="false" ht="12.8" hidden="false" customHeight="false" outlineLevel="0" collapsed="false">
      <c r="G1509" s="3" t="n">
        <v>45076</v>
      </c>
      <c r="H1509" s="43" t="s">
        <v>23</v>
      </c>
      <c r="I1509" s="5" t="n">
        <v>-28</v>
      </c>
      <c r="J1509" s="10" t="s">
        <v>134</v>
      </c>
      <c r="K1509" s="0"/>
      <c r="L1509" s="0"/>
      <c r="U1509" s="0"/>
      <c r="V1509" s="0"/>
      <c r="W1509" s="0"/>
      <c r="X1509" s="0"/>
      <c r="Y1509" s="0"/>
    </row>
    <row r="1510" customFormat="false" ht="12.8" hidden="false" customHeight="false" outlineLevel="0" collapsed="false">
      <c r="G1510" s="3" t="n">
        <v>45076</v>
      </c>
      <c r="H1510" s="43" t="s">
        <v>23</v>
      </c>
      <c r="I1510" s="5" t="n">
        <v>250</v>
      </c>
      <c r="J1510" s="10" t="s">
        <v>42</v>
      </c>
      <c r="K1510" s="0"/>
      <c r="L1510" s="0"/>
      <c r="U1510" s="0"/>
      <c r="V1510" s="0"/>
      <c r="W1510" s="0"/>
      <c r="X1510" s="0"/>
      <c r="Y1510" s="0"/>
    </row>
    <row r="1511" customFormat="false" ht="12.8" hidden="false" customHeight="false" outlineLevel="0" collapsed="false">
      <c r="G1511" s="3" t="n">
        <v>45076</v>
      </c>
      <c r="H1511" s="43" t="s">
        <v>23</v>
      </c>
      <c r="I1511" s="5" t="n">
        <v>-5</v>
      </c>
      <c r="J1511" s="10" t="s">
        <v>43</v>
      </c>
      <c r="K1511" s="0"/>
      <c r="L1511" s="0"/>
      <c r="U1511" s="0"/>
      <c r="V1511" s="0"/>
      <c r="W1511" s="0"/>
      <c r="X1511" s="0"/>
      <c r="Y1511" s="0"/>
    </row>
    <row r="1512" customFormat="false" ht="12.8" hidden="false" customHeight="false" outlineLevel="0" collapsed="false">
      <c r="G1512" s="3" t="n">
        <v>45077</v>
      </c>
      <c r="H1512" s="43" t="s">
        <v>23</v>
      </c>
      <c r="I1512" s="5" t="n">
        <v>-5</v>
      </c>
      <c r="J1512" s="0" t="s">
        <v>82</v>
      </c>
      <c r="K1512" s="0"/>
      <c r="L1512" s="0"/>
      <c r="U1512" s="0"/>
      <c r="V1512" s="0"/>
      <c r="W1512" s="0"/>
      <c r="X1512" s="0"/>
      <c r="Y1512" s="0"/>
    </row>
    <row r="1513" customFormat="false" ht="12.8" hidden="false" customHeight="false" outlineLevel="0" collapsed="false">
      <c r="G1513" s="3" t="n">
        <v>45077</v>
      </c>
      <c r="H1513" s="43" t="s">
        <v>23</v>
      </c>
      <c r="I1513" s="5" t="n">
        <v>-40</v>
      </c>
      <c r="J1513" s="10" t="s">
        <v>115</v>
      </c>
      <c r="K1513" s="0"/>
      <c r="L1513" s="0"/>
      <c r="U1513" s="0"/>
      <c r="V1513" s="0"/>
      <c r="W1513" s="0"/>
      <c r="X1513" s="0"/>
      <c r="Y1513" s="0"/>
    </row>
    <row r="1514" customFormat="false" ht="12.8" hidden="false" customHeight="false" outlineLevel="0" collapsed="false">
      <c r="G1514" s="3" t="n">
        <v>45077</v>
      </c>
      <c r="H1514" s="43" t="s">
        <v>23</v>
      </c>
      <c r="I1514" s="5" t="n">
        <v>-44.83</v>
      </c>
      <c r="J1514" s="10" t="s">
        <v>37</v>
      </c>
      <c r="K1514" s="0"/>
      <c r="L1514" s="0"/>
      <c r="U1514" s="0"/>
      <c r="V1514" s="0"/>
      <c r="W1514" s="0"/>
      <c r="X1514" s="0"/>
      <c r="Y1514" s="0"/>
    </row>
    <row r="1515" customFormat="false" ht="12.8" hidden="false" customHeight="false" outlineLevel="0" collapsed="false">
      <c r="G1515" s="3" t="n">
        <v>45077</v>
      </c>
      <c r="H1515" s="48" t="s">
        <v>26</v>
      </c>
      <c r="I1515" s="5" t="n">
        <v>-15</v>
      </c>
      <c r="J1515" s="0" t="s">
        <v>130</v>
      </c>
      <c r="K1515" s="0"/>
      <c r="L1515" s="0"/>
      <c r="U1515" s="0"/>
      <c r="V1515" s="0"/>
      <c r="W1515" s="0"/>
      <c r="X1515" s="0"/>
      <c r="Y1515" s="0"/>
    </row>
    <row r="1516" customFormat="false" ht="12.8" hidden="false" customHeight="false" outlineLevel="0" collapsed="false">
      <c r="G1516" s="3" t="n">
        <v>45077</v>
      </c>
      <c r="H1516" s="26" t="s">
        <v>10</v>
      </c>
      <c r="I1516" s="5" t="n">
        <f aca="false">2.25-1.58</f>
        <v>0.67</v>
      </c>
      <c r="J1516" s="0" t="s">
        <v>40</v>
      </c>
      <c r="K1516" s="0"/>
      <c r="L1516" s="0"/>
      <c r="U1516" s="0"/>
      <c r="V1516" s="0"/>
      <c r="W1516" s="0"/>
      <c r="X1516" s="0"/>
      <c r="Y1516" s="0"/>
    </row>
    <row r="1517" customFormat="false" ht="12.8" hidden="false" customHeight="false" outlineLevel="0" collapsed="false">
      <c r="G1517" s="3" t="n">
        <v>45078</v>
      </c>
      <c r="H1517" s="43" t="s">
        <v>23</v>
      </c>
      <c r="I1517" s="5" t="n">
        <v>-20</v>
      </c>
      <c r="J1517" s="10" t="s">
        <v>115</v>
      </c>
      <c r="K1517" s="0"/>
      <c r="L1517" s="0"/>
      <c r="U1517" s="0"/>
      <c r="V1517" s="0"/>
      <c r="W1517" s="0"/>
      <c r="X1517" s="0"/>
      <c r="Y1517" s="0"/>
    </row>
    <row r="1518" customFormat="false" ht="12.8" hidden="false" customHeight="false" outlineLevel="0" collapsed="false">
      <c r="G1518" s="3" t="n">
        <v>45078</v>
      </c>
      <c r="H1518" s="43" t="s">
        <v>23</v>
      </c>
      <c r="I1518" s="5" t="n">
        <v>-14.94</v>
      </c>
      <c r="J1518" s="10" t="s">
        <v>37</v>
      </c>
      <c r="K1518" s="0"/>
      <c r="L1518" s="0"/>
      <c r="U1518" s="0"/>
      <c r="V1518" s="0"/>
      <c r="W1518" s="0"/>
      <c r="X1518" s="0"/>
      <c r="Y1518" s="0"/>
    </row>
    <row r="1519" customFormat="false" ht="12.8" hidden="false" customHeight="false" outlineLevel="0" collapsed="false">
      <c r="G1519" s="3" t="n">
        <v>45078</v>
      </c>
      <c r="H1519" s="43" t="s">
        <v>23</v>
      </c>
      <c r="I1519" s="5" t="n">
        <v>-28</v>
      </c>
      <c r="J1519" s="10" t="s">
        <v>134</v>
      </c>
      <c r="K1519" s="0"/>
      <c r="L1519" s="0"/>
      <c r="U1519" s="0"/>
      <c r="V1519" s="0"/>
      <c r="W1519" s="0"/>
      <c r="X1519" s="0"/>
      <c r="Y1519" s="0"/>
    </row>
    <row r="1520" customFormat="false" ht="12.8" hidden="false" customHeight="false" outlineLevel="0" collapsed="false">
      <c r="G1520" s="3" t="n">
        <v>45078</v>
      </c>
      <c r="H1520" s="43" t="s">
        <v>23</v>
      </c>
      <c r="I1520" s="5" t="n">
        <v>-27.77</v>
      </c>
      <c r="J1520" s="0" t="s">
        <v>37</v>
      </c>
      <c r="K1520" s="0"/>
      <c r="L1520" s="0"/>
      <c r="U1520" s="0"/>
      <c r="V1520" s="0"/>
      <c r="W1520" s="0"/>
      <c r="X1520" s="0"/>
      <c r="Y1520" s="0"/>
    </row>
    <row r="1521" customFormat="false" ht="12.8" hidden="false" customHeight="false" outlineLevel="0" collapsed="false">
      <c r="G1521" s="3" t="n">
        <v>45079</v>
      </c>
      <c r="H1521" s="52" t="s">
        <v>14</v>
      </c>
      <c r="I1521" s="5" t="n">
        <f aca="false">2287.69-2286.29</f>
        <v>1.40000000000009</v>
      </c>
      <c r="J1521" s="10" t="s">
        <v>40</v>
      </c>
      <c r="K1521" s="0"/>
      <c r="L1521" s="0"/>
      <c r="U1521" s="0"/>
      <c r="V1521" s="0"/>
      <c r="W1521" s="0"/>
      <c r="X1521" s="0"/>
      <c r="Y1521" s="0"/>
    </row>
    <row r="1522" customFormat="false" ht="12.8" hidden="false" customHeight="false" outlineLevel="0" collapsed="false">
      <c r="G1522" s="3" t="n">
        <v>45079</v>
      </c>
      <c r="H1522" s="52" t="s">
        <v>14</v>
      </c>
      <c r="I1522" s="5" t="n">
        <v>-2003</v>
      </c>
      <c r="J1522" s="10" t="s">
        <v>66</v>
      </c>
      <c r="K1522" s="0"/>
      <c r="L1522" s="0"/>
      <c r="U1522" s="0"/>
      <c r="V1522" s="0"/>
      <c r="W1522" s="0"/>
      <c r="X1522" s="0"/>
      <c r="Y1522" s="0"/>
    </row>
    <row r="1523" customFormat="false" ht="12.8" hidden="false" customHeight="false" outlineLevel="0" collapsed="false">
      <c r="G1523" s="3" t="n">
        <v>45079</v>
      </c>
      <c r="H1523" s="48" t="s">
        <v>26</v>
      </c>
      <c r="I1523" s="5" t="n">
        <v>2003</v>
      </c>
      <c r="J1523" s="10" t="s">
        <v>66</v>
      </c>
      <c r="K1523" s="0"/>
      <c r="L1523" s="0"/>
      <c r="U1523" s="0"/>
      <c r="V1523" s="0"/>
      <c r="W1523" s="0"/>
      <c r="X1523" s="0"/>
      <c r="Y1523" s="0"/>
    </row>
    <row r="1524" customFormat="false" ht="12.8" hidden="false" customHeight="false" outlineLevel="0" collapsed="false">
      <c r="G1524" s="3" t="n">
        <v>45079</v>
      </c>
      <c r="H1524" s="48" t="s">
        <v>26</v>
      </c>
      <c r="I1524" s="5" t="n">
        <v>-2000</v>
      </c>
      <c r="J1524" s="55" t="s">
        <v>68</v>
      </c>
      <c r="K1524" s="0"/>
      <c r="L1524" s="0"/>
      <c r="U1524" s="0"/>
      <c r="V1524" s="0"/>
      <c r="W1524" s="0"/>
      <c r="X1524" s="0"/>
      <c r="Y1524" s="0"/>
    </row>
    <row r="1525" customFormat="false" ht="12.8" hidden="false" customHeight="false" outlineLevel="0" collapsed="false">
      <c r="G1525" s="3" t="n">
        <v>45079</v>
      </c>
      <c r="H1525" s="48" t="s">
        <v>26</v>
      </c>
      <c r="I1525" s="5" t="n">
        <v>-3</v>
      </c>
      <c r="J1525" s="55" t="s">
        <v>92</v>
      </c>
      <c r="K1525" s="0"/>
      <c r="L1525" s="0"/>
      <c r="U1525" s="0"/>
      <c r="V1525" s="0"/>
      <c r="W1525" s="0"/>
      <c r="X1525" s="0"/>
      <c r="Y1525" s="0"/>
    </row>
    <row r="1526" customFormat="false" ht="12.8" hidden="false" customHeight="false" outlineLevel="0" collapsed="false">
      <c r="G1526" s="3" t="n">
        <v>45079</v>
      </c>
      <c r="H1526" s="32" t="s">
        <v>15</v>
      </c>
      <c r="I1526" s="5" t="n">
        <v>2000</v>
      </c>
      <c r="J1526" s="55" t="s">
        <v>68</v>
      </c>
      <c r="K1526" s="0"/>
      <c r="L1526" s="0"/>
      <c r="U1526" s="0"/>
      <c r="V1526" s="0"/>
      <c r="W1526" s="0"/>
      <c r="X1526" s="0"/>
      <c r="Y1526" s="0"/>
    </row>
    <row r="1527" customFormat="false" ht="12.8" hidden="false" customHeight="false" outlineLevel="0" collapsed="false">
      <c r="G1527" s="3" t="n">
        <v>45079</v>
      </c>
      <c r="H1527" s="43" t="s">
        <v>23</v>
      </c>
      <c r="I1527" s="5" t="n">
        <v>-40</v>
      </c>
      <c r="J1527" s="10" t="s">
        <v>115</v>
      </c>
      <c r="K1527" s="0"/>
      <c r="L1527" s="0"/>
      <c r="U1527" s="0"/>
      <c r="V1527" s="0"/>
      <c r="W1527" s="0"/>
      <c r="X1527" s="0"/>
      <c r="Y1527" s="0"/>
    </row>
    <row r="1528" customFormat="false" ht="12.8" hidden="false" customHeight="false" outlineLevel="0" collapsed="false">
      <c r="G1528" s="3" t="n">
        <v>45079</v>
      </c>
      <c r="H1528" s="43" t="s">
        <v>23</v>
      </c>
      <c r="I1528" s="5" t="n">
        <f aca="false">-18.74-9.51</f>
        <v>-28.25</v>
      </c>
      <c r="J1528" s="10" t="s">
        <v>37</v>
      </c>
      <c r="K1528" s="0"/>
      <c r="L1528" s="0"/>
      <c r="U1528" s="0"/>
      <c r="V1528" s="0"/>
      <c r="W1528" s="0"/>
      <c r="X1528" s="0"/>
      <c r="Y1528" s="0"/>
    </row>
    <row r="1529" customFormat="false" ht="12.8" hidden="false" customHeight="false" outlineLevel="0" collapsed="false">
      <c r="G1529" s="3" t="n">
        <v>45079</v>
      </c>
      <c r="H1529" s="32" t="s">
        <v>15</v>
      </c>
      <c r="I1529" s="5" t="n">
        <v>-2000</v>
      </c>
      <c r="J1529" s="0" t="s">
        <v>104</v>
      </c>
      <c r="K1529" s="0"/>
      <c r="L1529" s="0"/>
      <c r="U1529" s="0"/>
      <c r="V1529" s="0"/>
      <c r="W1529" s="0"/>
      <c r="X1529" s="0"/>
      <c r="Y1529" s="0"/>
    </row>
    <row r="1530" customFormat="false" ht="12.8" hidden="false" customHeight="false" outlineLevel="0" collapsed="false">
      <c r="G1530" s="3" t="n">
        <v>45079</v>
      </c>
      <c r="H1530" s="26" t="s">
        <v>10</v>
      </c>
      <c r="I1530" s="5" t="n">
        <v>2000</v>
      </c>
      <c r="J1530" s="0" t="s">
        <v>104</v>
      </c>
      <c r="K1530" s="0"/>
      <c r="L1530" s="0"/>
      <c r="U1530" s="0"/>
      <c r="V1530" s="0"/>
      <c r="W1530" s="0"/>
      <c r="X1530" s="0"/>
      <c r="Y1530" s="0"/>
    </row>
    <row r="1531" customFormat="false" ht="12.8" hidden="false" customHeight="false" outlineLevel="0" collapsed="false">
      <c r="G1531" s="3" t="n">
        <v>45080</v>
      </c>
      <c r="H1531" s="43" t="s">
        <v>23</v>
      </c>
      <c r="I1531" s="5" t="n">
        <v>-40</v>
      </c>
      <c r="J1531" s="10" t="s">
        <v>115</v>
      </c>
      <c r="K1531" s="0"/>
      <c r="L1531" s="0"/>
      <c r="U1531" s="0"/>
      <c r="V1531" s="0"/>
      <c r="W1531" s="0"/>
      <c r="X1531" s="0"/>
      <c r="Y1531" s="0"/>
    </row>
    <row r="1532" customFormat="false" ht="12.8" hidden="false" customHeight="false" outlineLevel="0" collapsed="false">
      <c r="G1532" s="3" t="n">
        <v>45080</v>
      </c>
      <c r="H1532" s="43" t="s">
        <v>23</v>
      </c>
      <c r="I1532" s="5" t="n">
        <v>-29.41</v>
      </c>
      <c r="J1532" s="10" t="s">
        <v>37</v>
      </c>
      <c r="K1532" s="0"/>
      <c r="L1532" s="0"/>
      <c r="U1532" s="0"/>
      <c r="V1532" s="0"/>
      <c r="W1532" s="0"/>
      <c r="X1532" s="0"/>
      <c r="Y1532" s="0"/>
    </row>
    <row r="1533" customFormat="false" ht="12.8" hidden="false" customHeight="false" outlineLevel="0" collapsed="false">
      <c r="G1533" s="3" t="n">
        <v>45081</v>
      </c>
      <c r="H1533" s="43" t="s">
        <v>23</v>
      </c>
      <c r="I1533" s="5" t="n">
        <v>-40</v>
      </c>
      <c r="J1533" s="10" t="s">
        <v>115</v>
      </c>
      <c r="K1533" s="0"/>
      <c r="L1533" s="0"/>
      <c r="U1533" s="0"/>
      <c r="V1533" s="0"/>
      <c r="W1533" s="0"/>
      <c r="X1533" s="0"/>
      <c r="Y1533" s="0"/>
    </row>
    <row r="1534" customFormat="false" ht="12.8" hidden="false" customHeight="false" outlineLevel="0" collapsed="false">
      <c r="G1534" s="3" t="n">
        <v>45081</v>
      </c>
      <c r="H1534" s="43" t="s">
        <v>23</v>
      </c>
      <c r="I1534" s="5" t="n">
        <v>-28</v>
      </c>
      <c r="J1534" s="10" t="s">
        <v>134</v>
      </c>
      <c r="K1534" s="0"/>
      <c r="L1534" s="0"/>
      <c r="U1534" s="0"/>
      <c r="V1534" s="0"/>
      <c r="W1534" s="0"/>
      <c r="X1534" s="0"/>
      <c r="Y1534" s="0"/>
    </row>
    <row r="1535" customFormat="false" ht="12.8" hidden="false" customHeight="false" outlineLevel="0" collapsed="false">
      <c r="G1535" s="3" t="n">
        <v>45082</v>
      </c>
      <c r="H1535" s="43" t="s">
        <v>23</v>
      </c>
      <c r="I1535" s="5" t="n">
        <v>-40</v>
      </c>
      <c r="J1535" s="10" t="s">
        <v>115</v>
      </c>
      <c r="K1535" s="0"/>
      <c r="L1535" s="0"/>
      <c r="U1535" s="0"/>
      <c r="V1535" s="0"/>
      <c r="W1535" s="0"/>
      <c r="X1535" s="0"/>
      <c r="Y1535" s="0"/>
    </row>
    <row r="1536" customFormat="false" ht="12.8" hidden="false" customHeight="false" outlineLevel="0" collapsed="false">
      <c r="G1536" s="3" t="n">
        <v>45082</v>
      </c>
      <c r="H1536" s="43" t="s">
        <v>23</v>
      </c>
      <c r="I1536" s="5" t="n">
        <f aca="false">-14-9.93</f>
        <v>-23.93</v>
      </c>
      <c r="J1536" s="10" t="s">
        <v>37</v>
      </c>
      <c r="K1536" s="0"/>
      <c r="L1536" s="0"/>
      <c r="U1536" s="0"/>
      <c r="V1536" s="0"/>
      <c r="W1536" s="0"/>
      <c r="X1536" s="0"/>
      <c r="Y1536" s="0"/>
    </row>
    <row r="1537" customFormat="false" ht="12.8" hidden="false" customHeight="false" outlineLevel="0" collapsed="false">
      <c r="G1537" s="3" t="n">
        <v>45082</v>
      </c>
      <c r="H1537" s="43" t="s">
        <v>23</v>
      </c>
      <c r="I1537" s="5" t="n">
        <v>-30</v>
      </c>
      <c r="J1537" s="10" t="s">
        <v>46</v>
      </c>
      <c r="K1537" s="0"/>
      <c r="L1537" s="0"/>
      <c r="U1537" s="0"/>
      <c r="V1537" s="0"/>
      <c r="W1537" s="0"/>
      <c r="X1537" s="0"/>
      <c r="Y1537" s="0"/>
    </row>
    <row r="1538" customFormat="false" ht="12.8" hidden="false" customHeight="false" outlineLevel="0" collapsed="false">
      <c r="G1538" s="3" t="n">
        <v>45082</v>
      </c>
      <c r="H1538" s="52" t="s">
        <v>14</v>
      </c>
      <c r="I1538" s="5" t="n">
        <f aca="false">284.81-284.69+0.04</f>
        <v>0.160000000000005</v>
      </c>
      <c r="J1538" s="0" t="s">
        <v>40</v>
      </c>
      <c r="K1538" s="0"/>
      <c r="L1538" s="0"/>
      <c r="U1538" s="0"/>
      <c r="V1538" s="0"/>
      <c r="W1538" s="0"/>
      <c r="X1538" s="0"/>
      <c r="Y1538" s="0"/>
    </row>
    <row r="1539" customFormat="false" ht="12.8" hidden="false" customHeight="false" outlineLevel="0" collapsed="false">
      <c r="G1539" s="3" t="n">
        <v>45082</v>
      </c>
      <c r="H1539" s="26" t="s">
        <v>10</v>
      </c>
      <c r="I1539" s="5" t="n">
        <v>-1850</v>
      </c>
      <c r="J1539" s="54" t="s">
        <v>38</v>
      </c>
      <c r="K1539" s="0"/>
      <c r="L1539" s="0"/>
      <c r="U1539" s="0"/>
      <c r="V1539" s="0"/>
      <c r="W1539" s="0"/>
      <c r="X1539" s="0"/>
      <c r="Y1539" s="0"/>
    </row>
    <row r="1540" customFormat="false" ht="12.8" hidden="false" customHeight="false" outlineLevel="0" collapsed="false">
      <c r="G1540" s="3" t="n">
        <v>45082</v>
      </c>
      <c r="H1540" s="32" t="s">
        <v>15</v>
      </c>
      <c r="I1540" s="5" t="n">
        <v>1850</v>
      </c>
      <c r="J1540" s="54" t="s">
        <v>38</v>
      </c>
      <c r="K1540" s="0"/>
      <c r="L1540" s="0"/>
      <c r="U1540" s="0"/>
      <c r="V1540" s="0"/>
      <c r="W1540" s="0"/>
      <c r="X1540" s="0"/>
      <c r="Y1540" s="0"/>
    </row>
    <row r="1541" customFormat="false" ht="12.8" hidden="false" customHeight="false" outlineLevel="0" collapsed="false">
      <c r="G1541" s="3" t="n">
        <v>45082</v>
      </c>
      <c r="H1541" s="32" t="s">
        <v>15</v>
      </c>
      <c r="I1541" s="5" t="n">
        <v>-1850</v>
      </c>
      <c r="J1541" s="54" t="s">
        <v>110</v>
      </c>
      <c r="K1541" s="0"/>
      <c r="L1541" s="0"/>
      <c r="U1541" s="0"/>
      <c r="V1541" s="0"/>
      <c r="W1541" s="0"/>
      <c r="X1541" s="0"/>
      <c r="Y1541" s="0"/>
    </row>
    <row r="1542" customFormat="false" ht="12.8" hidden="false" customHeight="false" outlineLevel="0" collapsed="false">
      <c r="G1542" s="3" t="n">
        <v>45083</v>
      </c>
      <c r="H1542" s="43" t="s">
        <v>23</v>
      </c>
      <c r="I1542" s="5" t="n">
        <v>-20</v>
      </c>
      <c r="J1542" s="10" t="s">
        <v>115</v>
      </c>
      <c r="K1542" s="0"/>
      <c r="L1542" s="0"/>
      <c r="U1542" s="0"/>
      <c r="V1542" s="0"/>
      <c r="W1542" s="0"/>
      <c r="X1542" s="0"/>
      <c r="Y1542" s="0"/>
    </row>
    <row r="1543" customFormat="false" ht="12.8" hidden="false" customHeight="false" outlineLevel="0" collapsed="false">
      <c r="G1543" s="3" t="n">
        <v>45083</v>
      </c>
      <c r="H1543" s="43" t="s">
        <v>23</v>
      </c>
      <c r="I1543" s="5" t="n">
        <v>-16.25</v>
      </c>
      <c r="J1543" s="10" t="s">
        <v>37</v>
      </c>
      <c r="K1543" s="0"/>
      <c r="L1543" s="0"/>
      <c r="U1543" s="0"/>
      <c r="V1543" s="0"/>
      <c r="W1543" s="0"/>
      <c r="X1543" s="0"/>
      <c r="Y1543" s="0"/>
    </row>
    <row r="1544" customFormat="false" ht="12.8" hidden="false" customHeight="false" outlineLevel="0" collapsed="false">
      <c r="G1544" s="3" t="n">
        <v>45083</v>
      </c>
      <c r="H1544" s="43" t="s">
        <v>23</v>
      </c>
      <c r="I1544" s="5" t="n">
        <v>-28</v>
      </c>
      <c r="J1544" s="10" t="s">
        <v>134</v>
      </c>
      <c r="K1544" s="0"/>
      <c r="L1544" s="0"/>
      <c r="U1544" s="0"/>
      <c r="V1544" s="0"/>
      <c r="W1544" s="0"/>
      <c r="X1544" s="0"/>
      <c r="Y1544" s="0"/>
    </row>
    <row r="1545" customFormat="false" ht="12.8" hidden="false" customHeight="false" outlineLevel="0" collapsed="false">
      <c r="G1545" s="3" t="n">
        <v>45083</v>
      </c>
      <c r="H1545" s="48" t="s">
        <v>26</v>
      </c>
      <c r="I1545" s="5" t="n">
        <v>1850</v>
      </c>
      <c r="J1545" s="0" t="s">
        <v>110</v>
      </c>
      <c r="K1545" s="0"/>
      <c r="L1545" s="0"/>
      <c r="U1545" s="0"/>
      <c r="V1545" s="0"/>
      <c r="W1545" s="0"/>
      <c r="X1545" s="0"/>
      <c r="Y1545" s="0"/>
    </row>
    <row r="1546" customFormat="false" ht="12.8" hidden="false" customHeight="false" outlineLevel="0" collapsed="false">
      <c r="G1546" s="3" t="n">
        <v>45083</v>
      </c>
      <c r="H1546" s="48" t="s">
        <v>26</v>
      </c>
      <c r="I1546" s="5" t="n">
        <v>-1850</v>
      </c>
      <c r="J1546" s="55" t="s">
        <v>140</v>
      </c>
      <c r="K1546" s="0"/>
      <c r="L1546" s="0"/>
      <c r="U1546" s="0"/>
      <c r="V1546" s="0"/>
      <c r="W1546" s="0"/>
      <c r="X1546" s="0"/>
      <c r="Y1546" s="0"/>
    </row>
    <row r="1547" customFormat="false" ht="12.8" hidden="false" customHeight="false" outlineLevel="0" collapsed="false">
      <c r="G1547" s="3" t="n">
        <v>45083</v>
      </c>
      <c r="H1547" s="52" t="s">
        <v>14</v>
      </c>
      <c r="I1547" s="5" t="n">
        <v>1850</v>
      </c>
      <c r="J1547" s="0" t="s">
        <v>140</v>
      </c>
      <c r="K1547" s="0"/>
      <c r="L1547" s="0"/>
      <c r="U1547" s="0"/>
      <c r="V1547" s="0"/>
      <c r="W1547" s="0"/>
      <c r="X1547" s="0"/>
      <c r="Y1547" s="0"/>
    </row>
    <row r="1548" customFormat="false" ht="12.8" hidden="false" customHeight="false" outlineLevel="0" collapsed="false">
      <c r="G1548" s="3" t="n">
        <v>45084</v>
      </c>
      <c r="H1548" s="43" t="s">
        <v>23</v>
      </c>
      <c r="I1548" s="5" t="n">
        <v>-40</v>
      </c>
      <c r="J1548" s="10" t="s">
        <v>115</v>
      </c>
      <c r="K1548" s="0"/>
      <c r="L1548" s="0"/>
      <c r="U1548" s="0"/>
      <c r="V1548" s="0"/>
      <c r="W1548" s="0"/>
      <c r="X1548" s="0"/>
      <c r="Y1548" s="0"/>
    </row>
    <row r="1549" customFormat="false" ht="12.8" hidden="false" customHeight="false" outlineLevel="0" collapsed="false">
      <c r="G1549" s="3" t="n">
        <v>45084</v>
      </c>
      <c r="H1549" s="43" t="s">
        <v>23</v>
      </c>
      <c r="I1549" s="5" t="n">
        <v>-33.06</v>
      </c>
      <c r="J1549" s="10" t="s">
        <v>37</v>
      </c>
      <c r="K1549" s="0"/>
      <c r="L1549" s="0"/>
      <c r="U1549" s="0"/>
      <c r="V1549" s="0"/>
      <c r="W1549" s="0"/>
      <c r="X1549" s="0"/>
      <c r="Y1549" s="0"/>
    </row>
    <row r="1550" customFormat="false" ht="12.8" hidden="false" customHeight="false" outlineLevel="0" collapsed="false">
      <c r="G1550" s="3" t="n">
        <v>45084</v>
      </c>
      <c r="H1550" s="43" t="s">
        <v>23</v>
      </c>
      <c r="I1550" s="5" t="n">
        <v>-28</v>
      </c>
      <c r="J1550" s="10" t="s">
        <v>134</v>
      </c>
      <c r="K1550" s="0"/>
      <c r="L1550" s="0"/>
      <c r="U1550" s="0"/>
      <c r="V1550" s="0"/>
      <c r="W1550" s="0"/>
      <c r="X1550" s="0"/>
      <c r="Y1550" s="0"/>
    </row>
    <row r="1551" customFormat="false" ht="12.8" hidden="false" customHeight="false" outlineLevel="0" collapsed="false">
      <c r="G1551" s="3" t="n">
        <v>45084</v>
      </c>
      <c r="H1551" s="43" t="s">
        <v>23</v>
      </c>
      <c r="I1551" s="5" t="n">
        <v>-11.15</v>
      </c>
      <c r="J1551" s="0" t="s">
        <v>37</v>
      </c>
      <c r="K1551" s="0"/>
      <c r="L1551" s="0"/>
      <c r="U1551" s="0"/>
      <c r="V1551" s="0"/>
      <c r="W1551" s="0"/>
      <c r="X1551" s="0"/>
      <c r="Y1551" s="0"/>
    </row>
    <row r="1552" customFormat="false" ht="12.8" hidden="false" customHeight="false" outlineLevel="0" collapsed="false">
      <c r="G1552" s="3" t="n">
        <v>45085</v>
      </c>
      <c r="H1552" s="43" t="s">
        <v>23</v>
      </c>
      <c r="I1552" s="5" t="n">
        <v>-40</v>
      </c>
      <c r="J1552" s="10" t="s">
        <v>115</v>
      </c>
      <c r="K1552" s="0"/>
      <c r="L1552" s="0"/>
      <c r="U1552" s="0"/>
      <c r="V1552" s="0"/>
      <c r="W1552" s="0"/>
      <c r="X1552" s="0"/>
      <c r="Y1552" s="0"/>
    </row>
    <row r="1553" customFormat="false" ht="12.8" hidden="false" customHeight="false" outlineLevel="0" collapsed="false">
      <c r="G1553" s="3" t="n">
        <v>45085</v>
      </c>
      <c r="H1553" s="43" t="s">
        <v>23</v>
      </c>
      <c r="I1553" s="5" t="n">
        <v>-25.71</v>
      </c>
      <c r="J1553" s="10" t="s">
        <v>37</v>
      </c>
      <c r="K1553" s="0"/>
      <c r="L1553" s="0"/>
      <c r="U1553" s="0"/>
      <c r="V1553" s="0"/>
      <c r="W1553" s="0"/>
      <c r="X1553" s="0"/>
      <c r="Y1553" s="0"/>
    </row>
    <row r="1554" customFormat="false" ht="12.8" hidden="false" customHeight="false" outlineLevel="0" collapsed="false">
      <c r="G1554" s="3" t="n">
        <v>45086</v>
      </c>
      <c r="H1554" s="43" t="s">
        <v>23</v>
      </c>
      <c r="I1554" s="5" t="n">
        <v>-40</v>
      </c>
      <c r="J1554" s="10" t="s">
        <v>115</v>
      </c>
      <c r="K1554" s="5"/>
      <c r="L1554" s="0"/>
      <c r="U1554" s="0"/>
      <c r="V1554" s="0"/>
      <c r="W1554" s="0"/>
      <c r="X1554" s="0"/>
      <c r="Y1554" s="0"/>
    </row>
    <row r="1555" customFormat="false" ht="12.8" hidden="false" customHeight="false" outlineLevel="0" collapsed="false">
      <c r="G1555" s="3" t="n">
        <v>45086</v>
      </c>
      <c r="H1555" s="43" t="s">
        <v>23</v>
      </c>
      <c r="I1555" s="5" t="n">
        <v>-22.22</v>
      </c>
      <c r="J1555" s="10" t="s">
        <v>37</v>
      </c>
      <c r="K1555" s="5"/>
      <c r="L1555" s="0"/>
      <c r="U1555" s="0"/>
      <c r="V1555" s="0"/>
      <c r="W1555" s="0"/>
      <c r="X1555" s="0"/>
      <c r="Y1555" s="0"/>
    </row>
    <row r="1556" customFormat="false" ht="12.8" hidden="false" customHeight="false" outlineLevel="0" collapsed="false">
      <c r="G1556" s="3" t="n">
        <v>45086</v>
      </c>
      <c r="H1556" s="52" t="s">
        <v>14</v>
      </c>
      <c r="I1556" s="5" t="n">
        <f aca="false">0.78</f>
        <v>0.78</v>
      </c>
      <c r="J1556" s="0" t="s">
        <v>40</v>
      </c>
      <c r="K1556" s="5"/>
      <c r="L1556" s="0"/>
      <c r="U1556" s="0"/>
      <c r="V1556" s="0"/>
      <c r="W1556" s="0"/>
      <c r="X1556" s="0"/>
      <c r="Y1556" s="0"/>
    </row>
    <row r="1557" customFormat="false" ht="12.8" hidden="false" customHeight="false" outlineLevel="0" collapsed="false">
      <c r="G1557" s="3" t="n">
        <v>45086</v>
      </c>
      <c r="H1557" s="52" t="s">
        <v>14</v>
      </c>
      <c r="I1557" s="5" t="n">
        <v>-135</v>
      </c>
      <c r="J1557" s="10" t="s">
        <v>66</v>
      </c>
      <c r="K1557" s="0"/>
      <c r="L1557" s="0"/>
      <c r="U1557" s="0"/>
      <c r="V1557" s="0"/>
      <c r="W1557" s="0"/>
      <c r="X1557" s="0"/>
      <c r="Y1557" s="0"/>
    </row>
    <row r="1558" customFormat="false" ht="12.8" hidden="false" customHeight="false" outlineLevel="0" collapsed="false">
      <c r="G1558" s="3" t="n">
        <v>45086</v>
      </c>
      <c r="H1558" s="48" t="s">
        <v>26</v>
      </c>
      <c r="I1558" s="5" t="n">
        <v>135</v>
      </c>
      <c r="J1558" s="10" t="s">
        <v>66</v>
      </c>
      <c r="K1558" s="5"/>
      <c r="L1558" s="0"/>
      <c r="U1558" s="0"/>
      <c r="V1558" s="0"/>
      <c r="W1558" s="0"/>
      <c r="X1558" s="0"/>
      <c r="Y1558" s="0"/>
    </row>
    <row r="1559" customFormat="false" ht="12.8" hidden="false" customHeight="false" outlineLevel="0" collapsed="false">
      <c r="G1559" s="3" t="n">
        <v>45086</v>
      </c>
      <c r="H1559" s="43" t="s">
        <v>23</v>
      </c>
      <c r="I1559" s="5" t="n">
        <v>-28</v>
      </c>
      <c r="J1559" s="10" t="s">
        <v>134</v>
      </c>
      <c r="K1559" s="5"/>
      <c r="L1559" s="0"/>
      <c r="U1559" s="0"/>
      <c r="V1559" s="0"/>
      <c r="W1559" s="0"/>
      <c r="X1559" s="0"/>
      <c r="Y1559" s="0"/>
    </row>
    <row r="1560" customFormat="false" ht="12.8" hidden="false" customHeight="false" outlineLevel="0" collapsed="false">
      <c r="G1560" s="3" t="n">
        <v>45087</v>
      </c>
      <c r="H1560" s="48" t="s">
        <v>26</v>
      </c>
      <c r="I1560" s="5" t="n">
        <v>-40</v>
      </c>
      <c r="J1560" s="0" t="s">
        <v>115</v>
      </c>
      <c r="K1560" s="5"/>
      <c r="L1560" s="0"/>
      <c r="U1560" s="0"/>
      <c r="V1560" s="0"/>
      <c r="W1560" s="0"/>
      <c r="X1560" s="0"/>
      <c r="Y1560" s="0"/>
    </row>
    <row r="1561" customFormat="false" ht="12.8" hidden="false" customHeight="false" outlineLevel="0" collapsed="false">
      <c r="G1561" s="3" t="n">
        <v>45087</v>
      </c>
      <c r="H1561" s="43" t="s">
        <v>23</v>
      </c>
      <c r="I1561" s="5" t="n">
        <f aca="false">-3.99-8.49-9.64</f>
        <v>-22.12</v>
      </c>
      <c r="J1561" s="10" t="s">
        <v>37</v>
      </c>
      <c r="K1561" s="5"/>
      <c r="L1561" s="0"/>
      <c r="U1561" s="0"/>
      <c r="V1561" s="0"/>
      <c r="W1561" s="0"/>
      <c r="X1561" s="0"/>
      <c r="Y1561" s="0"/>
    </row>
    <row r="1562" customFormat="false" ht="12.8" hidden="false" customHeight="false" outlineLevel="0" collapsed="false">
      <c r="G1562" s="3" t="n">
        <v>45088</v>
      </c>
      <c r="H1562" s="48" t="s">
        <v>26</v>
      </c>
      <c r="I1562" s="5" t="n">
        <v>-40</v>
      </c>
      <c r="J1562" s="0" t="s">
        <v>115</v>
      </c>
      <c r="K1562" s="5"/>
      <c r="L1562" s="0"/>
      <c r="U1562" s="0"/>
      <c r="V1562" s="0"/>
      <c r="W1562" s="0"/>
      <c r="X1562" s="0"/>
      <c r="Y1562" s="0"/>
    </row>
    <row r="1563" customFormat="false" ht="12.8" hidden="false" customHeight="false" outlineLevel="0" collapsed="false">
      <c r="G1563" s="3" t="n">
        <v>45088</v>
      </c>
      <c r="H1563" s="48" t="s">
        <v>26</v>
      </c>
      <c r="I1563" s="5" t="n">
        <v>-19.25</v>
      </c>
      <c r="J1563" s="10" t="s">
        <v>37</v>
      </c>
      <c r="K1563" s="5"/>
      <c r="L1563" s="0"/>
      <c r="U1563" s="0"/>
      <c r="V1563" s="0"/>
      <c r="W1563" s="0"/>
      <c r="X1563" s="0"/>
      <c r="Y1563" s="0"/>
    </row>
    <row r="1564" customFormat="false" ht="12.8" hidden="false" customHeight="false" outlineLevel="0" collapsed="false">
      <c r="G1564" s="3" t="n">
        <v>45088</v>
      </c>
      <c r="H1564" s="48" t="s">
        <v>26</v>
      </c>
      <c r="I1564" s="5" t="n">
        <v>-28</v>
      </c>
      <c r="J1564" s="0" t="s">
        <v>134</v>
      </c>
      <c r="K1564" s="5"/>
      <c r="L1564" s="0"/>
      <c r="U1564" s="0"/>
      <c r="V1564" s="0"/>
      <c r="W1564" s="0"/>
      <c r="X1564" s="0"/>
      <c r="Y1564" s="0"/>
    </row>
    <row r="1565" customFormat="false" ht="12.8" hidden="false" customHeight="false" outlineLevel="0" collapsed="false">
      <c r="G1565" s="3" t="n">
        <v>45089</v>
      </c>
      <c r="H1565" s="52" t="s">
        <v>14</v>
      </c>
      <c r="I1565" s="5" t="n">
        <f aca="false">0.48+0.24</f>
        <v>0.72</v>
      </c>
      <c r="J1565" s="0" t="s">
        <v>40</v>
      </c>
      <c r="K1565" s="0"/>
      <c r="L1565" s="0"/>
      <c r="U1565" s="0"/>
      <c r="V1565" s="0"/>
      <c r="W1565" s="0"/>
      <c r="X1565" s="0"/>
      <c r="Y1565" s="0"/>
    </row>
    <row r="1566" customFormat="false" ht="12.8" hidden="false" customHeight="false" outlineLevel="0" collapsed="false">
      <c r="G1566" s="3" t="n">
        <v>45089</v>
      </c>
      <c r="H1566" s="52" t="s">
        <v>14</v>
      </c>
      <c r="I1566" s="5" t="n">
        <v>-92</v>
      </c>
      <c r="J1566" s="10" t="s">
        <v>66</v>
      </c>
      <c r="K1566" s="5"/>
      <c r="L1566" s="0"/>
      <c r="U1566" s="0"/>
      <c r="V1566" s="0"/>
      <c r="W1566" s="0"/>
      <c r="X1566" s="0"/>
      <c r="Y1566" s="0"/>
    </row>
    <row r="1567" customFormat="false" ht="12.8" hidden="false" customHeight="false" outlineLevel="0" collapsed="false">
      <c r="G1567" s="3" t="n">
        <v>45089</v>
      </c>
      <c r="H1567" s="48" t="s">
        <v>26</v>
      </c>
      <c r="I1567" s="5" t="n">
        <v>92</v>
      </c>
      <c r="J1567" s="10" t="s">
        <v>66</v>
      </c>
      <c r="K1567" s="5"/>
      <c r="L1567" s="0"/>
      <c r="U1567" s="0"/>
      <c r="V1567" s="0"/>
      <c r="W1567" s="0"/>
      <c r="X1567" s="0"/>
      <c r="Y1567" s="0"/>
    </row>
    <row r="1568" customFormat="false" ht="12.8" hidden="false" customHeight="false" outlineLevel="0" collapsed="false">
      <c r="G1568" s="3" t="n">
        <v>45089</v>
      </c>
      <c r="H1568" s="48" t="s">
        <v>26</v>
      </c>
      <c r="I1568" s="5" t="n">
        <v>-40</v>
      </c>
      <c r="J1568" s="10" t="s">
        <v>115</v>
      </c>
      <c r="K1568" s="0"/>
      <c r="L1568" s="0"/>
      <c r="U1568" s="0"/>
      <c r="V1568" s="0"/>
      <c r="W1568" s="0"/>
      <c r="X1568" s="0"/>
      <c r="Y1568" s="0"/>
    </row>
    <row r="1569" customFormat="false" ht="12.8" hidden="false" customHeight="false" outlineLevel="0" collapsed="false">
      <c r="G1569" s="3" t="n">
        <v>45089</v>
      </c>
      <c r="H1569" s="48" t="s">
        <v>26</v>
      </c>
      <c r="I1569" s="5" t="n">
        <v>-17.76</v>
      </c>
      <c r="J1569" s="10" t="s">
        <v>37</v>
      </c>
      <c r="K1569" s="0"/>
      <c r="L1569" s="0"/>
      <c r="U1569" s="0"/>
      <c r="V1569" s="0"/>
      <c r="W1569" s="0"/>
      <c r="X1569" s="0"/>
      <c r="Y1569" s="0"/>
    </row>
    <row r="1570" customFormat="false" ht="12.8" hidden="false" customHeight="false" outlineLevel="0" collapsed="false">
      <c r="G1570" s="3" t="n">
        <v>45089</v>
      </c>
      <c r="H1570" s="48" t="s">
        <v>26</v>
      </c>
      <c r="I1570" s="5" t="n">
        <v>-19.08</v>
      </c>
      <c r="J1570" s="0" t="s">
        <v>37</v>
      </c>
      <c r="K1570" s="0"/>
      <c r="L1570" s="0"/>
      <c r="U1570" s="0"/>
      <c r="V1570" s="0"/>
      <c r="W1570" s="0"/>
      <c r="X1570" s="0"/>
      <c r="Y1570" s="0"/>
    </row>
    <row r="1571" customFormat="false" ht="12.8" hidden="false" customHeight="false" outlineLevel="0" collapsed="false">
      <c r="G1571" s="3" t="n">
        <v>45090</v>
      </c>
      <c r="H1571" s="48" t="s">
        <v>26</v>
      </c>
      <c r="I1571" s="5" t="n">
        <v>-20</v>
      </c>
      <c r="J1571" s="0" t="s">
        <v>37</v>
      </c>
      <c r="K1571" s="0"/>
      <c r="L1571" s="0"/>
      <c r="U1571" s="0"/>
      <c r="V1571" s="0"/>
      <c r="W1571" s="0"/>
      <c r="X1571" s="0"/>
      <c r="Y1571" s="0"/>
    </row>
    <row r="1572" customFormat="false" ht="12.8" hidden="false" customHeight="false" outlineLevel="0" collapsed="false">
      <c r="G1572" s="3" t="n">
        <v>45090</v>
      </c>
      <c r="H1572" s="52" t="s">
        <v>14</v>
      </c>
      <c r="I1572" s="5" t="n">
        <v>-17</v>
      </c>
      <c r="J1572" s="10" t="s">
        <v>66</v>
      </c>
      <c r="K1572" s="0"/>
      <c r="L1572" s="0"/>
      <c r="U1572" s="0"/>
      <c r="V1572" s="0"/>
      <c r="W1572" s="0"/>
      <c r="X1572" s="0"/>
      <c r="Y1572" s="0"/>
    </row>
    <row r="1573" customFormat="false" ht="12.8" hidden="false" customHeight="false" outlineLevel="0" collapsed="false">
      <c r="G1573" s="3" t="n">
        <v>45090</v>
      </c>
      <c r="H1573" s="48" t="s">
        <v>26</v>
      </c>
      <c r="I1573" s="5" t="n">
        <v>17</v>
      </c>
      <c r="J1573" s="10" t="s">
        <v>66</v>
      </c>
      <c r="K1573" s="0"/>
      <c r="L1573" s="0"/>
      <c r="U1573" s="0"/>
      <c r="V1573" s="0"/>
      <c r="W1573" s="0"/>
      <c r="X1573" s="0"/>
      <c r="Y1573" s="0"/>
    </row>
    <row r="1574" customFormat="false" ht="12.8" hidden="false" customHeight="false" outlineLevel="0" collapsed="false">
      <c r="G1574" s="3" t="n">
        <v>45090</v>
      </c>
      <c r="H1574" s="48" t="s">
        <v>26</v>
      </c>
      <c r="I1574" s="5" t="n">
        <v>-18.35</v>
      </c>
      <c r="J1574" s="10" t="s">
        <v>37</v>
      </c>
      <c r="K1574" s="0"/>
      <c r="L1574" s="0"/>
      <c r="U1574" s="0"/>
      <c r="V1574" s="0"/>
      <c r="W1574" s="0"/>
      <c r="X1574" s="0"/>
      <c r="Y1574" s="0"/>
    </row>
    <row r="1575" customFormat="false" ht="12.8" hidden="false" customHeight="false" outlineLevel="0" collapsed="false">
      <c r="G1575" s="3" t="n">
        <v>45090</v>
      </c>
      <c r="H1575" s="52" t="s">
        <v>14</v>
      </c>
      <c r="I1575" s="5" t="n">
        <v>-88</v>
      </c>
      <c r="J1575" s="0" t="s">
        <v>66</v>
      </c>
      <c r="K1575" s="0"/>
      <c r="L1575" s="0"/>
      <c r="U1575" s="0"/>
      <c r="V1575" s="0"/>
      <c r="W1575" s="0"/>
      <c r="X1575" s="0"/>
      <c r="Y1575" s="0"/>
    </row>
    <row r="1576" customFormat="false" ht="12.8" hidden="false" customHeight="false" outlineLevel="0" collapsed="false">
      <c r="G1576" s="3" t="n">
        <v>45090</v>
      </c>
      <c r="H1576" s="48" t="s">
        <v>26</v>
      </c>
      <c r="I1576" s="5" t="n">
        <f aca="false">28+40+20</f>
        <v>88</v>
      </c>
      <c r="J1576" s="0" t="s">
        <v>66</v>
      </c>
      <c r="K1576" s="0"/>
      <c r="L1576" s="0"/>
      <c r="U1576" s="0"/>
      <c r="V1576" s="0"/>
      <c r="W1576" s="0"/>
      <c r="X1576" s="0"/>
      <c r="Y1576" s="0"/>
    </row>
    <row r="1577" customFormat="false" ht="12.8" hidden="false" customHeight="false" outlineLevel="0" collapsed="false">
      <c r="G1577" s="3" t="n">
        <v>45090</v>
      </c>
      <c r="H1577" s="48" t="s">
        <v>26</v>
      </c>
      <c r="I1577" s="5" t="n">
        <v>-28</v>
      </c>
      <c r="J1577" s="0" t="s">
        <v>134</v>
      </c>
      <c r="K1577" s="0"/>
      <c r="L1577" s="0"/>
      <c r="U1577" s="0"/>
      <c r="V1577" s="0"/>
      <c r="W1577" s="0"/>
      <c r="X1577" s="0"/>
      <c r="Y1577" s="0"/>
    </row>
    <row r="1578" customFormat="false" ht="12.8" hidden="false" customHeight="false" outlineLevel="0" collapsed="false">
      <c r="G1578" s="3" t="n">
        <v>45091</v>
      </c>
      <c r="H1578" s="48" t="s">
        <v>26</v>
      </c>
      <c r="I1578" s="5" t="n">
        <v>-40</v>
      </c>
      <c r="J1578" s="10" t="s">
        <v>115</v>
      </c>
      <c r="K1578" s="0"/>
      <c r="L1578" s="0"/>
      <c r="U1578" s="0"/>
      <c r="V1578" s="0"/>
      <c r="W1578" s="0"/>
      <c r="X1578" s="0"/>
      <c r="Y1578" s="0"/>
    </row>
    <row r="1579" customFormat="false" ht="12.8" hidden="false" customHeight="false" outlineLevel="0" collapsed="false">
      <c r="G1579" s="3" t="n">
        <v>45091</v>
      </c>
      <c r="H1579" s="52" t="s">
        <v>14</v>
      </c>
      <c r="I1579" s="5" t="n">
        <v>-18</v>
      </c>
      <c r="J1579" s="0" t="s">
        <v>66</v>
      </c>
      <c r="K1579" s="0"/>
      <c r="L1579" s="0"/>
      <c r="U1579" s="0"/>
      <c r="V1579" s="0"/>
      <c r="W1579" s="0"/>
      <c r="X1579" s="0"/>
      <c r="Y1579" s="0"/>
    </row>
    <row r="1580" customFormat="false" ht="12.8" hidden="false" customHeight="false" outlineLevel="0" collapsed="false">
      <c r="G1580" s="3" t="n">
        <v>45091</v>
      </c>
      <c r="H1580" s="48" t="s">
        <v>26</v>
      </c>
      <c r="I1580" s="5" t="n">
        <v>18</v>
      </c>
      <c r="J1580" s="0" t="s">
        <v>66</v>
      </c>
      <c r="K1580" s="0"/>
      <c r="L1580" s="0"/>
      <c r="U1580" s="0"/>
      <c r="V1580" s="0"/>
      <c r="W1580" s="0"/>
      <c r="X1580" s="0"/>
      <c r="Y1580" s="0"/>
    </row>
    <row r="1581" customFormat="false" ht="12.8" hidden="false" customHeight="false" outlineLevel="0" collapsed="false">
      <c r="G1581" s="3" t="n">
        <v>45092</v>
      </c>
      <c r="H1581" s="48" t="s">
        <v>26</v>
      </c>
      <c r="I1581" s="5" t="n">
        <v>-40</v>
      </c>
      <c r="J1581" s="10" t="s">
        <v>37</v>
      </c>
      <c r="K1581" s="0"/>
      <c r="L1581" s="0"/>
      <c r="U1581" s="0"/>
      <c r="V1581" s="0"/>
      <c r="W1581" s="0"/>
      <c r="X1581" s="0"/>
      <c r="Y1581" s="0"/>
    </row>
    <row r="1582" customFormat="false" ht="12.8" hidden="false" customHeight="false" outlineLevel="0" collapsed="false">
      <c r="G1582" s="3" t="n">
        <v>45092</v>
      </c>
      <c r="H1582" s="43" t="s">
        <v>23</v>
      </c>
      <c r="I1582" s="5" t="n">
        <v>1898</v>
      </c>
      <c r="J1582" s="10" t="s">
        <v>42</v>
      </c>
      <c r="K1582" s="0"/>
      <c r="L1582" s="0"/>
      <c r="U1582" s="0"/>
      <c r="V1582" s="0"/>
      <c r="W1582" s="0"/>
      <c r="X1582" s="0"/>
      <c r="Y1582" s="0"/>
    </row>
    <row r="1583" customFormat="false" ht="12.8" hidden="false" customHeight="false" outlineLevel="0" collapsed="false">
      <c r="G1583" s="3" t="n">
        <v>45092</v>
      </c>
      <c r="H1583" s="43" t="s">
        <v>23</v>
      </c>
      <c r="I1583" s="5" t="n">
        <v>-5</v>
      </c>
      <c r="J1583" s="10" t="s">
        <v>43</v>
      </c>
      <c r="K1583" s="0"/>
      <c r="L1583" s="0"/>
      <c r="U1583" s="0"/>
      <c r="V1583" s="0"/>
      <c r="W1583" s="0"/>
      <c r="X1583" s="0"/>
      <c r="Y1583" s="0"/>
    </row>
    <row r="1584" customFormat="false" ht="12.8" hidden="false" customHeight="false" outlineLevel="0" collapsed="false">
      <c r="G1584" s="3" t="n">
        <v>45092</v>
      </c>
      <c r="H1584" s="43" t="s">
        <v>23</v>
      </c>
      <c r="I1584" s="5" t="n">
        <v>-641</v>
      </c>
      <c r="J1584" s="0" t="s">
        <v>44</v>
      </c>
      <c r="K1584" s="0"/>
      <c r="L1584" s="0"/>
      <c r="U1584" s="0"/>
      <c r="V1584" s="0"/>
      <c r="W1584" s="0"/>
      <c r="X1584" s="0"/>
      <c r="Y1584" s="0"/>
    </row>
    <row r="1585" customFormat="false" ht="12.8" hidden="false" customHeight="false" outlineLevel="0" collapsed="false">
      <c r="G1585" s="3" t="n">
        <v>45092</v>
      </c>
      <c r="H1585" s="43" t="s">
        <v>23</v>
      </c>
      <c r="I1585" s="5" t="n">
        <f aca="false">419+180</f>
        <v>599</v>
      </c>
      <c r="J1585" s="10" t="s">
        <v>42</v>
      </c>
      <c r="K1585" s="0"/>
      <c r="L1585" s="0"/>
      <c r="U1585" s="0"/>
      <c r="V1585" s="0"/>
      <c r="W1585" s="0"/>
      <c r="X1585" s="0"/>
      <c r="Y1585" s="0"/>
    </row>
    <row r="1586" customFormat="false" ht="12.8" hidden="false" customHeight="false" outlineLevel="0" collapsed="false">
      <c r="G1586" s="3" t="n">
        <v>45093</v>
      </c>
      <c r="H1586" s="52" t="s">
        <v>14</v>
      </c>
      <c r="I1586" s="5" t="n">
        <v>-40</v>
      </c>
      <c r="J1586" s="0" t="s">
        <v>66</v>
      </c>
      <c r="K1586" s="0"/>
      <c r="L1586" s="0"/>
      <c r="U1586" s="0"/>
      <c r="V1586" s="0"/>
      <c r="W1586" s="0"/>
      <c r="X1586" s="0"/>
      <c r="Y1586" s="0"/>
    </row>
    <row r="1587" customFormat="false" ht="12.8" hidden="false" customHeight="false" outlineLevel="0" collapsed="false">
      <c r="G1587" s="3" t="n">
        <v>45093</v>
      </c>
      <c r="H1587" s="48" t="s">
        <v>26</v>
      </c>
      <c r="I1587" s="5" t="n">
        <v>40</v>
      </c>
      <c r="J1587" s="0" t="s">
        <v>66</v>
      </c>
      <c r="K1587" s="0"/>
      <c r="L1587" s="0"/>
      <c r="U1587" s="0"/>
      <c r="V1587" s="0"/>
      <c r="W1587" s="0"/>
      <c r="X1587" s="0"/>
      <c r="Y1587" s="0"/>
    </row>
    <row r="1588" customFormat="false" ht="12.8" hidden="false" customHeight="false" outlineLevel="0" collapsed="false">
      <c r="G1588" s="3" t="n">
        <v>45093</v>
      </c>
      <c r="H1588" s="52" t="s">
        <v>14</v>
      </c>
      <c r="I1588" s="5" t="n">
        <v>0.89</v>
      </c>
      <c r="J1588" s="0" t="s">
        <v>40</v>
      </c>
      <c r="K1588" s="0"/>
      <c r="L1588" s="0"/>
      <c r="U1588" s="0"/>
      <c r="V1588" s="0"/>
      <c r="W1588" s="0"/>
      <c r="X1588" s="0"/>
      <c r="Y1588" s="0"/>
    </row>
    <row r="1589" customFormat="false" ht="12.8" hidden="false" customHeight="false" outlineLevel="0" collapsed="false">
      <c r="G1589" s="3" t="n">
        <v>45093</v>
      </c>
      <c r="H1589" s="48" t="s">
        <v>26</v>
      </c>
      <c r="I1589" s="5" t="n">
        <v>-40</v>
      </c>
      <c r="J1589" s="0" t="s">
        <v>141</v>
      </c>
      <c r="K1589" s="0"/>
      <c r="L1589" s="0"/>
      <c r="U1589" s="0"/>
      <c r="V1589" s="0"/>
      <c r="W1589" s="0"/>
      <c r="X1589" s="0"/>
      <c r="Y1589" s="0"/>
    </row>
    <row r="1590" customFormat="false" ht="12.8" hidden="false" customHeight="false" outlineLevel="0" collapsed="false">
      <c r="G1590" s="3" t="n">
        <v>45093</v>
      </c>
      <c r="H1590" s="52" t="s">
        <v>14</v>
      </c>
      <c r="I1590" s="5" t="n">
        <v>40</v>
      </c>
      <c r="J1590" s="55" t="s">
        <v>141</v>
      </c>
      <c r="K1590" s="0"/>
      <c r="L1590" s="0"/>
      <c r="U1590" s="0"/>
      <c r="V1590" s="0"/>
      <c r="W1590" s="0"/>
      <c r="X1590" s="0"/>
      <c r="Y1590" s="0"/>
    </row>
    <row r="1591" customFormat="false" ht="12.8" hidden="false" customHeight="false" outlineLevel="0" collapsed="false">
      <c r="G1591" s="3" t="n">
        <v>45093</v>
      </c>
      <c r="H1591" s="43" t="s">
        <v>23</v>
      </c>
      <c r="I1591" s="5" t="n">
        <v>-40</v>
      </c>
      <c r="J1591" s="0" t="s">
        <v>115</v>
      </c>
      <c r="K1591" s="0"/>
      <c r="L1591" s="0"/>
      <c r="U1591" s="0"/>
      <c r="V1591" s="0"/>
      <c r="W1591" s="0"/>
      <c r="X1591" s="0"/>
      <c r="Y1591" s="0"/>
    </row>
    <row r="1592" customFormat="false" ht="12.8" hidden="false" customHeight="false" outlineLevel="0" collapsed="false">
      <c r="G1592" s="3" t="n">
        <v>45093</v>
      </c>
      <c r="H1592" s="43" t="s">
        <v>23</v>
      </c>
      <c r="I1592" s="5" t="n">
        <v>-28</v>
      </c>
      <c r="J1592" s="0" t="s">
        <v>134</v>
      </c>
      <c r="K1592" s="0"/>
      <c r="L1592" s="0"/>
      <c r="U1592" s="0"/>
      <c r="V1592" s="0"/>
      <c r="W1592" s="0"/>
      <c r="X1592" s="0"/>
      <c r="Y1592" s="0"/>
    </row>
    <row r="1593" customFormat="false" ht="12.8" hidden="false" customHeight="false" outlineLevel="0" collapsed="false">
      <c r="G1593" s="3" t="n">
        <v>45093</v>
      </c>
      <c r="H1593" s="43" t="s">
        <v>23</v>
      </c>
      <c r="I1593" s="5" t="n">
        <v>-359.66</v>
      </c>
      <c r="J1593" s="0" t="s">
        <v>52</v>
      </c>
      <c r="K1593" s="0"/>
      <c r="L1593" s="0"/>
      <c r="U1593" s="0"/>
      <c r="V1593" s="0"/>
      <c r="W1593" s="0"/>
      <c r="X1593" s="0"/>
      <c r="Y1593" s="0"/>
    </row>
    <row r="1594" customFormat="false" ht="12.8" hidden="false" customHeight="false" outlineLevel="0" collapsed="false">
      <c r="G1594" s="3" t="n">
        <v>45094</v>
      </c>
      <c r="H1594" s="43" t="s">
        <v>23</v>
      </c>
      <c r="I1594" s="5" t="n">
        <v>-40</v>
      </c>
      <c r="J1594" s="0" t="s">
        <v>115</v>
      </c>
      <c r="K1594" s="0"/>
      <c r="L1594" s="0"/>
      <c r="U1594" s="0"/>
      <c r="V1594" s="0"/>
      <c r="W1594" s="0"/>
      <c r="X1594" s="0"/>
      <c r="Y1594" s="0"/>
    </row>
    <row r="1595" customFormat="false" ht="12.8" hidden="false" customHeight="false" outlineLevel="0" collapsed="false">
      <c r="G1595" s="3" t="n">
        <v>45095</v>
      </c>
      <c r="H1595" s="43" t="s">
        <v>23</v>
      </c>
      <c r="I1595" s="5" t="n">
        <v>-40</v>
      </c>
      <c r="J1595" s="0" t="s">
        <v>37</v>
      </c>
      <c r="K1595" s="0"/>
      <c r="L1595" s="0"/>
      <c r="U1595" s="0"/>
      <c r="V1595" s="0"/>
      <c r="W1595" s="0"/>
      <c r="X1595" s="0"/>
      <c r="Y1595" s="0"/>
    </row>
    <row r="1596" customFormat="false" ht="12.8" hidden="false" customHeight="false" outlineLevel="0" collapsed="false">
      <c r="G1596" s="3" t="n">
        <v>45095</v>
      </c>
      <c r="H1596" s="43" t="s">
        <v>23</v>
      </c>
      <c r="I1596" s="5" t="n">
        <v>-28</v>
      </c>
      <c r="J1596" s="0" t="s">
        <v>134</v>
      </c>
      <c r="K1596" s="0"/>
      <c r="L1596" s="0"/>
      <c r="U1596" s="0"/>
      <c r="V1596" s="0"/>
      <c r="W1596" s="0"/>
      <c r="X1596" s="0"/>
      <c r="Y1596" s="0"/>
    </row>
    <row r="1597" customFormat="false" ht="12.8" hidden="false" customHeight="false" outlineLevel="0" collapsed="false">
      <c r="G1597" s="3" t="n">
        <v>45096</v>
      </c>
      <c r="H1597" s="43" t="s">
        <v>23</v>
      </c>
      <c r="I1597" s="5" t="n">
        <v>-40</v>
      </c>
      <c r="J1597" s="0" t="s">
        <v>115</v>
      </c>
      <c r="K1597" s="0"/>
      <c r="L1597" s="0"/>
      <c r="U1597" s="0"/>
      <c r="V1597" s="0"/>
      <c r="W1597" s="0"/>
      <c r="X1597" s="0"/>
      <c r="Y1597" s="0"/>
    </row>
    <row r="1598" customFormat="false" ht="12.8" hidden="false" customHeight="false" outlineLevel="0" collapsed="false">
      <c r="G1598" s="3" t="n">
        <v>45097</v>
      </c>
      <c r="H1598" s="52" t="s">
        <v>14</v>
      </c>
      <c r="I1598" s="5" t="n">
        <v>0.88</v>
      </c>
      <c r="J1598" s="0" t="s">
        <v>40</v>
      </c>
      <c r="K1598" s="5"/>
      <c r="L1598" s="0"/>
      <c r="U1598" s="0"/>
      <c r="V1598" s="0"/>
      <c r="W1598" s="0"/>
      <c r="X1598" s="0"/>
      <c r="Y1598" s="0"/>
    </row>
    <row r="1599" customFormat="false" ht="12.8" hidden="false" customHeight="false" outlineLevel="0" collapsed="false">
      <c r="G1599" s="3" t="n">
        <v>45097</v>
      </c>
      <c r="H1599" s="52" t="s">
        <v>14</v>
      </c>
      <c r="I1599" s="5" t="n">
        <v>-154</v>
      </c>
      <c r="J1599" s="0" t="s">
        <v>66</v>
      </c>
      <c r="K1599" s="5"/>
      <c r="L1599" s="0"/>
      <c r="U1599" s="0"/>
      <c r="V1599" s="0"/>
      <c r="W1599" s="0"/>
      <c r="X1599" s="0"/>
      <c r="Y1599" s="0"/>
    </row>
    <row r="1600" customFormat="false" ht="12.8" hidden="false" customHeight="false" outlineLevel="0" collapsed="false">
      <c r="G1600" s="3" t="n">
        <v>45097</v>
      </c>
      <c r="H1600" s="48" t="s">
        <v>26</v>
      </c>
      <c r="I1600" s="5" t="n">
        <v>154</v>
      </c>
      <c r="J1600" s="0" t="s">
        <v>66</v>
      </c>
      <c r="K1600" s="0"/>
      <c r="L1600" s="0"/>
      <c r="U1600" s="0"/>
      <c r="V1600" s="0"/>
      <c r="W1600" s="0"/>
      <c r="X1600" s="0"/>
      <c r="Y1600" s="0"/>
    </row>
    <row r="1601" customFormat="false" ht="12.8" hidden="false" customHeight="false" outlineLevel="0" collapsed="false">
      <c r="G1601" s="3" t="n">
        <v>45097</v>
      </c>
      <c r="H1601" s="48" t="s">
        <v>26</v>
      </c>
      <c r="I1601" s="5" t="n">
        <v>-153.58</v>
      </c>
      <c r="J1601" s="0" t="s">
        <v>47</v>
      </c>
      <c r="K1601" s="0"/>
      <c r="L1601" s="0"/>
      <c r="U1601" s="0"/>
      <c r="V1601" s="0"/>
      <c r="W1601" s="0"/>
      <c r="X1601" s="0"/>
      <c r="Y1601" s="0"/>
    </row>
    <row r="1602" customFormat="false" ht="12.8" hidden="false" customHeight="false" outlineLevel="0" collapsed="false">
      <c r="G1602" s="3" t="n">
        <v>45097</v>
      </c>
      <c r="H1602" s="43" t="s">
        <v>23</v>
      </c>
      <c r="I1602" s="5" t="n">
        <v>-20</v>
      </c>
      <c r="J1602" s="0" t="s">
        <v>37</v>
      </c>
      <c r="K1602" s="0"/>
      <c r="L1602" s="0"/>
      <c r="U1602" s="0"/>
      <c r="V1602" s="0"/>
      <c r="W1602" s="0"/>
      <c r="X1602" s="0"/>
      <c r="Y1602" s="0"/>
    </row>
    <row r="1603" customFormat="false" ht="12.8" hidden="false" customHeight="false" outlineLevel="0" collapsed="false">
      <c r="G1603" s="3" t="n">
        <v>45097</v>
      </c>
      <c r="H1603" s="43" t="s">
        <v>23</v>
      </c>
      <c r="I1603" s="5" t="n">
        <v>-9.79</v>
      </c>
      <c r="J1603" s="0" t="s">
        <v>37</v>
      </c>
      <c r="K1603" s="0"/>
      <c r="L1603" s="0"/>
      <c r="U1603" s="0"/>
      <c r="V1603" s="0"/>
      <c r="W1603" s="0"/>
      <c r="X1603" s="0"/>
      <c r="Y1603" s="0"/>
    </row>
    <row r="1604" customFormat="false" ht="12.8" hidden="false" customHeight="false" outlineLevel="0" collapsed="false">
      <c r="G1604" s="3" t="n">
        <v>45098</v>
      </c>
      <c r="H1604" s="43" t="s">
        <v>23</v>
      </c>
      <c r="I1604" s="5" t="n">
        <v>-40</v>
      </c>
      <c r="J1604" s="0" t="s">
        <v>115</v>
      </c>
      <c r="K1604" s="0"/>
      <c r="L1604" s="0"/>
      <c r="U1604" s="0"/>
      <c r="V1604" s="0"/>
      <c r="W1604" s="0"/>
      <c r="X1604" s="0"/>
      <c r="Y1604" s="0"/>
    </row>
    <row r="1605" customFormat="false" ht="12.8" hidden="false" customHeight="false" outlineLevel="0" collapsed="false">
      <c r="G1605" s="3" t="n">
        <v>45098</v>
      </c>
      <c r="H1605" s="43" t="s">
        <v>23</v>
      </c>
      <c r="I1605" s="5" t="n">
        <v>-11.36</v>
      </c>
      <c r="J1605" s="0" t="s">
        <v>37</v>
      </c>
      <c r="K1605" s="0"/>
      <c r="L1605" s="0"/>
      <c r="U1605" s="0"/>
      <c r="V1605" s="0"/>
      <c r="W1605" s="0"/>
      <c r="X1605" s="0"/>
      <c r="Y1605" s="0"/>
    </row>
    <row r="1606" customFormat="false" ht="12.8" hidden="false" customHeight="false" outlineLevel="0" collapsed="false">
      <c r="G1606" s="3" t="n">
        <v>45098</v>
      </c>
      <c r="H1606" s="43" t="s">
        <v>23</v>
      </c>
      <c r="I1606" s="5" t="n">
        <v>-9.96</v>
      </c>
      <c r="J1606" s="0" t="s">
        <v>37</v>
      </c>
      <c r="K1606" s="0"/>
      <c r="L1606" s="0"/>
      <c r="U1606" s="0"/>
      <c r="V1606" s="0"/>
      <c r="W1606" s="0"/>
      <c r="X1606" s="0"/>
      <c r="Y1606" s="0"/>
    </row>
    <row r="1607" customFormat="false" ht="12.8" hidden="false" customHeight="false" outlineLevel="0" collapsed="false">
      <c r="G1607" s="3" t="n">
        <v>45098</v>
      </c>
      <c r="H1607" s="43" t="s">
        <v>23</v>
      </c>
      <c r="I1607" s="5" t="n">
        <v>-35</v>
      </c>
      <c r="J1607" s="0" t="s">
        <v>134</v>
      </c>
      <c r="K1607" s="0"/>
      <c r="L1607" s="0"/>
      <c r="U1607" s="0"/>
      <c r="V1607" s="0"/>
      <c r="W1607" s="0"/>
      <c r="X1607" s="0"/>
      <c r="Y1607" s="0"/>
    </row>
    <row r="1608" customFormat="false" ht="12.8" hidden="false" customHeight="false" outlineLevel="0" collapsed="false">
      <c r="G1608" s="3" t="n">
        <v>45098</v>
      </c>
      <c r="H1608" s="43" t="s">
        <v>23</v>
      </c>
      <c r="I1608" s="5" t="n">
        <v>-96.06</v>
      </c>
      <c r="J1608" s="0" t="s">
        <v>53</v>
      </c>
      <c r="K1608" s="0"/>
      <c r="L1608" s="0"/>
      <c r="U1608" s="0"/>
      <c r="V1608" s="0"/>
      <c r="W1608" s="0"/>
      <c r="X1608" s="0"/>
      <c r="Y1608" s="0"/>
    </row>
    <row r="1609" customFormat="false" ht="12.8" hidden="false" customHeight="false" outlineLevel="0" collapsed="false">
      <c r="G1609" s="3" t="n">
        <v>45099</v>
      </c>
      <c r="H1609" s="43" t="s">
        <v>23</v>
      </c>
      <c r="I1609" s="5" t="n">
        <v>-43.38</v>
      </c>
      <c r="J1609" s="0" t="s">
        <v>37</v>
      </c>
      <c r="K1609" s="0"/>
      <c r="L1609" s="0"/>
      <c r="U1609" s="0"/>
      <c r="V1609" s="0"/>
      <c r="W1609" s="0"/>
      <c r="X1609" s="0"/>
      <c r="Y1609" s="0"/>
    </row>
    <row r="1610" customFormat="false" ht="12.8" hidden="false" customHeight="false" outlineLevel="0" collapsed="false">
      <c r="G1610" s="3" t="n">
        <v>45100</v>
      </c>
      <c r="H1610" s="43" t="s">
        <v>23</v>
      </c>
      <c r="I1610" s="5" t="n">
        <v>-43.38</v>
      </c>
      <c r="J1610" s="0" t="s">
        <v>37</v>
      </c>
      <c r="K1610" s="0"/>
      <c r="L1610" s="0"/>
      <c r="U1610" s="0"/>
      <c r="V1610" s="0"/>
      <c r="W1610" s="0"/>
      <c r="X1610" s="0"/>
      <c r="Y1610" s="0"/>
    </row>
    <row r="1611" customFormat="false" ht="12.8" hidden="false" customHeight="false" outlineLevel="0" collapsed="false">
      <c r="G1611" s="3" t="n">
        <v>45100</v>
      </c>
      <c r="H1611" s="43" t="s">
        <v>23</v>
      </c>
      <c r="I1611" s="5" t="n">
        <v>-23.36</v>
      </c>
      <c r="J1611" s="0" t="s">
        <v>37</v>
      </c>
      <c r="K1611" s="0"/>
      <c r="L1611" s="0"/>
      <c r="U1611" s="0"/>
      <c r="V1611" s="0"/>
      <c r="W1611" s="0"/>
      <c r="X1611" s="0"/>
      <c r="Y1611" s="0"/>
    </row>
    <row r="1612" customFormat="false" ht="12.8" hidden="false" customHeight="false" outlineLevel="0" collapsed="false">
      <c r="G1612" s="3" t="n">
        <v>45100</v>
      </c>
      <c r="H1612" s="43" t="s">
        <v>23</v>
      </c>
      <c r="I1612" s="5" t="n">
        <v>-27.94</v>
      </c>
      <c r="J1612" s="0" t="s">
        <v>37</v>
      </c>
      <c r="K1612" s="0"/>
      <c r="L1612" s="0"/>
      <c r="U1612" s="0"/>
      <c r="V1612" s="0"/>
      <c r="W1612" s="0"/>
      <c r="X1612" s="0"/>
      <c r="Y1612" s="0"/>
    </row>
    <row r="1613" customFormat="false" ht="12.8" hidden="false" customHeight="false" outlineLevel="0" collapsed="false">
      <c r="G1613" s="3" t="n">
        <v>45100</v>
      </c>
      <c r="H1613" s="43" t="s">
        <v>23</v>
      </c>
      <c r="I1613" s="5" t="n">
        <v>-28</v>
      </c>
      <c r="J1613" s="0" t="s">
        <v>142</v>
      </c>
      <c r="K1613" s="0"/>
      <c r="L1613" s="0"/>
      <c r="U1613" s="0"/>
      <c r="V1613" s="0"/>
      <c r="W1613" s="0"/>
      <c r="X1613" s="0"/>
      <c r="Y1613" s="0"/>
    </row>
    <row r="1614" customFormat="false" ht="12.8" hidden="false" customHeight="false" outlineLevel="0" collapsed="false">
      <c r="G1614" s="3" t="n">
        <v>45101</v>
      </c>
      <c r="H1614" s="26" t="s">
        <v>10</v>
      </c>
      <c r="I1614" s="5" t="n">
        <v>-150</v>
      </c>
      <c r="J1614" s="54" t="s">
        <v>38</v>
      </c>
      <c r="K1614" s="0"/>
      <c r="L1614" s="0"/>
      <c r="U1614" s="0"/>
      <c r="V1614" s="0"/>
      <c r="W1614" s="0"/>
      <c r="X1614" s="0"/>
      <c r="Y1614" s="0"/>
    </row>
    <row r="1615" customFormat="false" ht="12.8" hidden="false" customHeight="false" outlineLevel="0" collapsed="false">
      <c r="G1615" s="3" t="n">
        <v>45101</v>
      </c>
      <c r="H1615" s="32" t="s">
        <v>15</v>
      </c>
      <c r="I1615" s="5" t="n">
        <v>150</v>
      </c>
      <c r="J1615" s="54" t="s">
        <v>38</v>
      </c>
      <c r="K1615" s="0"/>
      <c r="L1615" s="0"/>
      <c r="U1615" s="0"/>
      <c r="V1615" s="0"/>
      <c r="W1615" s="0"/>
      <c r="X1615" s="0"/>
      <c r="Y1615" s="0"/>
    </row>
    <row r="1616" customFormat="false" ht="12.8" hidden="false" customHeight="false" outlineLevel="0" collapsed="false">
      <c r="G1616" s="3" t="n">
        <v>45101</v>
      </c>
      <c r="H1616" s="43" t="s">
        <v>23</v>
      </c>
      <c r="I1616" s="5" t="n">
        <v>-53.72</v>
      </c>
      <c r="J1616" s="0" t="s">
        <v>37</v>
      </c>
      <c r="K1616" s="5"/>
      <c r="L1616" s="0"/>
      <c r="U1616" s="0"/>
      <c r="V1616" s="0"/>
      <c r="W1616" s="0"/>
      <c r="X1616" s="0"/>
      <c r="Y1616" s="0"/>
    </row>
    <row r="1617" customFormat="false" ht="12.8" hidden="false" customHeight="false" outlineLevel="0" collapsed="false">
      <c r="G1617" s="3" t="n">
        <v>45101</v>
      </c>
      <c r="H1617" s="43" t="s">
        <v>23</v>
      </c>
      <c r="I1617" s="5" t="n">
        <v>-9.45</v>
      </c>
      <c r="J1617" s="0" t="s">
        <v>37</v>
      </c>
      <c r="K1617" s="0"/>
      <c r="L1617" s="0"/>
      <c r="U1617" s="0"/>
      <c r="V1617" s="0"/>
      <c r="W1617" s="0"/>
      <c r="X1617" s="0"/>
      <c r="Y1617" s="0"/>
    </row>
    <row r="1618" customFormat="false" ht="12.8" hidden="false" customHeight="false" outlineLevel="0" collapsed="false">
      <c r="G1618" s="3" t="n">
        <v>45101</v>
      </c>
      <c r="H1618" s="43" t="s">
        <v>23</v>
      </c>
      <c r="I1618" s="5" t="n">
        <v>-28</v>
      </c>
      <c r="J1618" s="0" t="s">
        <v>134</v>
      </c>
      <c r="K1618" s="0"/>
      <c r="L1618" s="0"/>
      <c r="U1618" s="0"/>
      <c r="V1618" s="0"/>
      <c r="W1618" s="0"/>
      <c r="X1618" s="0"/>
      <c r="Y1618" s="0"/>
    </row>
    <row r="1619" customFormat="false" ht="12.8" hidden="false" customHeight="false" outlineLevel="0" collapsed="false">
      <c r="G1619" s="3" t="n">
        <v>45102</v>
      </c>
      <c r="H1619" s="32" t="s">
        <v>15</v>
      </c>
      <c r="I1619" s="5" t="n">
        <v>-150</v>
      </c>
      <c r="J1619" s="0" t="s">
        <v>119</v>
      </c>
      <c r="K1619" s="5"/>
      <c r="L1619" s="0"/>
      <c r="U1619" s="0"/>
      <c r="V1619" s="0"/>
      <c r="W1619" s="0"/>
      <c r="X1619" s="0"/>
      <c r="Y1619" s="0"/>
    </row>
    <row r="1620" customFormat="false" ht="12.8" hidden="false" customHeight="false" outlineLevel="0" collapsed="false">
      <c r="G1620" s="3" t="n">
        <v>45102</v>
      </c>
      <c r="H1620" s="43" t="s">
        <v>23</v>
      </c>
      <c r="I1620" s="5" t="n">
        <v>-20</v>
      </c>
      <c r="J1620" s="0" t="s">
        <v>115</v>
      </c>
      <c r="K1620" s="0"/>
      <c r="L1620" s="0"/>
      <c r="U1620" s="0"/>
      <c r="V1620" s="0"/>
      <c r="W1620" s="0"/>
      <c r="X1620" s="0"/>
      <c r="Y1620" s="0"/>
    </row>
    <row r="1621" customFormat="false" ht="12.8" hidden="false" customHeight="false" outlineLevel="0" collapsed="false">
      <c r="G1621" s="3" t="n">
        <v>45102</v>
      </c>
      <c r="H1621" s="43" t="s">
        <v>23</v>
      </c>
      <c r="I1621" s="5" t="n">
        <f aca="false">-18.18-11.84</f>
        <v>-30.02</v>
      </c>
      <c r="J1621" s="0" t="s">
        <v>37</v>
      </c>
      <c r="K1621" s="0"/>
      <c r="L1621" s="0"/>
      <c r="U1621" s="0"/>
      <c r="V1621" s="0"/>
      <c r="W1621" s="0"/>
      <c r="X1621" s="0"/>
      <c r="Y1621" s="0"/>
    </row>
    <row r="1622" customFormat="false" ht="12.8" hidden="false" customHeight="false" outlineLevel="0" collapsed="false">
      <c r="G1622" s="3" t="n">
        <v>45102</v>
      </c>
      <c r="H1622" s="43" t="s">
        <v>23</v>
      </c>
      <c r="I1622" s="5" t="n">
        <v>-14</v>
      </c>
      <c r="J1622" s="0" t="s">
        <v>134</v>
      </c>
      <c r="K1622" s="0"/>
      <c r="L1622" s="0"/>
      <c r="U1622" s="0"/>
      <c r="V1622" s="0"/>
      <c r="W1622" s="0"/>
      <c r="X1622" s="0"/>
      <c r="Y1622" s="0"/>
    </row>
    <row r="1623" customFormat="false" ht="12.8" hidden="false" customHeight="false" outlineLevel="0" collapsed="false">
      <c r="G1623" s="3" t="n">
        <v>45103</v>
      </c>
      <c r="H1623" s="43" t="s">
        <v>23</v>
      </c>
      <c r="I1623" s="5" t="n">
        <v>-31.36</v>
      </c>
      <c r="J1623" s="0" t="s">
        <v>37</v>
      </c>
      <c r="K1623" s="0"/>
      <c r="L1623" s="0"/>
      <c r="U1623" s="0"/>
      <c r="V1623" s="0"/>
      <c r="W1623" s="0"/>
      <c r="X1623" s="0"/>
      <c r="Y1623" s="0"/>
    </row>
    <row r="1624" customFormat="false" ht="12.8" hidden="false" customHeight="false" outlineLevel="0" collapsed="false">
      <c r="G1624" s="3" t="n">
        <v>45103</v>
      </c>
      <c r="H1624" s="43" t="s">
        <v>23</v>
      </c>
      <c r="I1624" s="5" t="n">
        <v>-30</v>
      </c>
      <c r="J1624" s="0" t="s">
        <v>46</v>
      </c>
      <c r="K1624" s="0"/>
      <c r="L1624" s="0"/>
      <c r="U1624" s="0"/>
      <c r="V1624" s="0"/>
      <c r="W1624" s="0"/>
      <c r="X1624" s="0"/>
      <c r="Y1624" s="0"/>
    </row>
    <row r="1625" customFormat="false" ht="12.8" hidden="false" customHeight="false" outlineLevel="0" collapsed="false">
      <c r="G1625" s="3" t="n">
        <v>45104</v>
      </c>
      <c r="H1625" s="52" t="s">
        <v>14</v>
      </c>
      <c r="I1625" s="5" t="n">
        <v>-90</v>
      </c>
      <c r="J1625" s="10" t="s">
        <v>143</v>
      </c>
      <c r="K1625" s="5"/>
      <c r="L1625" s="0"/>
      <c r="U1625" s="0"/>
      <c r="V1625" s="0"/>
      <c r="W1625" s="0"/>
      <c r="X1625" s="0"/>
      <c r="Y1625" s="0"/>
    </row>
    <row r="1626" customFormat="false" ht="12.8" hidden="false" customHeight="false" outlineLevel="0" collapsed="false">
      <c r="G1626" s="3" t="n">
        <v>45104</v>
      </c>
      <c r="H1626" s="48" t="s">
        <v>26</v>
      </c>
      <c r="I1626" s="5" t="n">
        <v>90</v>
      </c>
      <c r="J1626" s="10" t="s">
        <v>143</v>
      </c>
      <c r="K1626" s="5"/>
      <c r="L1626" s="0"/>
      <c r="U1626" s="0"/>
      <c r="V1626" s="0"/>
      <c r="W1626" s="0"/>
      <c r="X1626" s="0"/>
      <c r="Y1626" s="0"/>
    </row>
    <row r="1627" customFormat="false" ht="12.8" hidden="false" customHeight="false" outlineLevel="0" collapsed="false">
      <c r="G1627" s="3" t="n">
        <v>45104</v>
      </c>
      <c r="H1627" s="43" t="s">
        <v>23</v>
      </c>
      <c r="I1627" s="5" t="n">
        <v>-40</v>
      </c>
      <c r="J1627" s="0" t="s">
        <v>115</v>
      </c>
      <c r="K1627" s="0"/>
      <c r="L1627" s="0"/>
      <c r="U1627" s="0"/>
      <c r="V1627" s="0"/>
      <c r="W1627" s="0"/>
      <c r="X1627" s="0"/>
      <c r="Y1627" s="0"/>
    </row>
    <row r="1628" customFormat="false" ht="12.8" hidden="false" customHeight="false" outlineLevel="0" collapsed="false">
      <c r="G1628" s="3" t="n">
        <v>45104</v>
      </c>
      <c r="H1628" s="52" t="s">
        <v>14</v>
      </c>
      <c r="I1628" s="5" t="n">
        <f aca="false">1545.52-1544.12</f>
        <v>1.40000000000009</v>
      </c>
      <c r="J1628" s="0" t="s">
        <v>40</v>
      </c>
      <c r="K1628" s="0"/>
      <c r="L1628" s="0"/>
      <c r="U1628" s="0"/>
      <c r="V1628" s="0"/>
      <c r="W1628" s="0"/>
      <c r="X1628" s="0"/>
      <c r="Y1628" s="0"/>
    </row>
    <row r="1629" customFormat="false" ht="12.8" hidden="false" customHeight="false" outlineLevel="0" collapsed="false">
      <c r="G1629" s="3" t="n">
        <v>45104</v>
      </c>
      <c r="H1629" s="43" t="s">
        <v>23</v>
      </c>
      <c r="I1629" s="5" t="n">
        <f aca="false">-6.06-23.33</f>
        <v>-29.39</v>
      </c>
      <c r="J1629" s="0" t="s">
        <v>37</v>
      </c>
      <c r="K1629" s="0"/>
      <c r="L1629" s="0"/>
      <c r="U1629" s="0"/>
      <c r="V1629" s="0"/>
      <c r="W1629" s="0"/>
      <c r="X1629" s="0"/>
      <c r="Y1629" s="0"/>
    </row>
    <row r="1630" customFormat="false" ht="12.8" hidden="false" customHeight="false" outlineLevel="0" collapsed="false">
      <c r="G1630" s="3" t="n">
        <v>45104</v>
      </c>
      <c r="H1630" s="48" t="s">
        <v>26</v>
      </c>
      <c r="I1630" s="5" t="n">
        <v>-26.44</v>
      </c>
      <c r="J1630" s="0" t="s">
        <v>37</v>
      </c>
      <c r="K1630" s="0"/>
      <c r="L1630" s="0"/>
      <c r="U1630" s="0"/>
      <c r="V1630" s="0"/>
      <c r="W1630" s="0"/>
      <c r="X1630" s="0"/>
      <c r="Y1630" s="0"/>
    </row>
    <row r="1631" customFormat="false" ht="12.8" hidden="false" customHeight="false" outlineLevel="0" collapsed="false">
      <c r="G1631" s="3" t="n">
        <v>45105</v>
      </c>
      <c r="H1631" s="48" t="s">
        <v>26</v>
      </c>
      <c r="I1631" s="5" t="n">
        <v>-50</v>
      </c>
      <c r="J1631" s="0" t="s">
        <v>139</v>
      </c>
      <c r="K1631" s="5"/>
      <c r="L1631" s="0"/>
      <c r="U1631" s="0"/>
      <c r="V1631" s="0"/>
      <c r="W1631" s="0"/>
      <c r="X1631" s="0"/>
      <c r="Y1631" s="0"/>
    </row>
    <row r="1632" customFormat="false" ht="12.8" hidden="false" customHeight="false" outlineLevel="0" collapsed="false">
      <c r="G1632" s="3" t="n">
        <v>45105</v>
      </c>
      <c r="H1632" s="52" t="s">
        <v>14</v>
      </c>
      <c r="I1632" s="5" t="n">
        <v>50</v>
      </c>
      <c r="J1632" s="55" t="s">
        <v>139</v>
      </c>
      <c r="K1632" s="5"/>
      <c r="L1632" s="0"/>
      <c r="U1632" s="0"/>
      <c r="V1632" s="0"/>
      <c r="W1632" s="0"/>
      <c r="X1632" s="0"/>
      <c r="Y1632" s="0"/>
    </row>
    <row r="1633" customFormat="false" ht="12.8" hidden="false" customHeight="false" outlineLevel="0" collapsed="false">
      <c r="G1633" s="3" t="n">
        <v>45105</v>
      </c>
      <c r="H1633" s="43" t="s">
        <v>23</v>
      </c>
      <c r="I1633" s="5" t="n">
        <v>-40</v>
      </c>
      <c r="J1633" s="0" t="s">
        <v>37</v>
      </c>
      <c r="K1633" s="0"/>
      <c r="L1633" s="0"/>
      <c r="U1633" s="0"/>
      <c r="V1633" s="0"/>
      <c r="W1633" s="0"/>
      <c r="X1633" s="0"/>
      <c r="Y1633" s="0"/>
    </row>
    <row r="1634" customFormat="false" ht="12.8" hidden="false" customHeight="false" outlineLevel="0" collapsed="false">
      <c r="G1634" s="3" t="n">
        <v>45105</v>
      </c>
      <c r="H1634" s="43" t="s">
        <v>23</v>
      </c>
      <c r="I1634" s="5" t="n">
        <v>-73.46</v>
      </c>
      <c r="J1634" s="0" t="s">
        <v>48</v>
      </c>
      <c r="K1634" s="0"/>
      <c r="L1634" s="0"/>
      <c r="U1634" s="0"/>
      <c r="V1634" s="0"/>
      <c r="W1634" s="0"/>
      <c r="X1634" s="0"/>
      <c r="Y1634" s="0"/>
    </row>
    <row r="1635" customFormat="false" ht="12.8" hidden="false" customHeight="false" outlineLevel="0" collapsed="false">
      <c r="G1635" s="3" t="n">
        <v>45105</v>
      </c>
      <c r="H1635" s="43" t="s">
        <v>23</v>
      </c>
      <c r="I1635" s="5" t="n">
        <v>-24.84</v>
      </c>
      <c r="J1635" s="0" t="s">
        <v>37</v>
      </c>
      <c r="K1635" s="0"/>
      <c r="L1635" s="0"/>
      <c r="U1635" s="0"/>
      <c r="V1635" s="0"/>
      <c r="W1635" s="0"/>
      <c r="X1635" s="0"/>
      <c r="Y1635" s="0"/>
    </row>
    <row r="1636" customFormat="false" ht="12.8" hidden="false" customHeight="false" outlineLevel="0" collapsed="false">
      <c r="G1636" s="3" t="n">
        <v>45105</v>
      </c>
      <c r="H1636" s="43" t="s">
        <v>23</v>
      </c>
      <c r="I1636" s="5" t="n">
        <v>-36</v>
      </c>
      <c r="J1636" s="0" t="s">
        <v>134</v>
      </c>
      <c r="K1636" s="0"/>
      <c r="L1636" s="0"/>
      <c r="U1636" s="0"/>
      <c r="V1636" s="0"/>
      <c r="W1636" s="0"/>
      <c r="X1636" s="0"/>
      <c r="Y1636" s="0"/>
    </row>
    <row r="1637" customFormat="false" ht="12.8" hidden="false" customHeight="false" outlineLevel="0" collapsed="false">
      <c r="G1637" s="3" t="n">
        <v>45106</v>
      </c>
      <c r="H1637" s="43" t="s">
        <v>23</v>
      </c>
      <c r="I1637" s="5" t="n">
        <v>-40</v>
      </c>
      <c r="J1637" s="0" t="s">
        <v>37</v>
      </c>
      <c r="K1637" s="0"/>
      <c r="L1637" s="0"/>
      <c r="U1637" s="0"/>
      <c r="V1637" s="0"/>
      <c r="W1637" s="0"/>
      <c r="X1637" s="0"/>
      <c r="Y1637" s="0"/>
    </row>
    <row r="1638" customFormat="false" ht="12.8" hidden="false" customHeight="false" outlineLevel="0" collapsed="false">
      <c r="G1638" s="3" t="n">
        <v>45106</v>
      </c>
      <c r="H1638" s="43" t="s">
        <v>23</v>
      </c>
      <c r="I1638" s="5" t="n">
        <v>-11.36</v>
      </c>
      <c r="J1638" s="0" t="s">
        <v>37</v>
      </c>
      <c r="K1638" s="0"/>
      <c r="L1638" s="0"/>
      <c r="U1638" s="0"/>
      <c r="V1638" s="0"/>
      <c r="W1638" s="0"/>
      <c r="X1638" s="0"/>
      <c r="Y1638" s="0"/>
    </row>
    <row r="1639" customFormat="false" ht="12.8" hidden="false" customHeight="false" outlineLevel="0" collapsed="false">
      <c r="G1639" s="3" t="n">
        <v>45106</v>
      </c>
      <c r="H1639" s="43" t="s">
        <v>23</v>
      </c>
      <c r="I1639" s="5" t="n">
        <v>250</v>
      </c>
      <c r="J1639" s="10" t="s">
        <v>42</v>
      </c>
      <c r="K1639" s="0"/>
      <c r="L1639" s="0"/>
      <c r="U1639" s="0"/>
      <c r="V1639" s="0"/>
      <c r="W1639" s="0"/>
      <c r="X1639" s="0"/>
      <c r="Y1639" s="0"/>
    </row>
    <row r="1640" customFormat="false" ht="12.8" hidden="false" customHeight="false" outlineLevel="0" collapsed="false">
      <c r="G1640" s="3" t="n">
        <v>45106</v>
      </c>
      <c r="H1640" s="43" t="s">
        <v>23</v>
      </c>
      <c r="I1640" s="5" t="n">
        <v>-5</v>
      </c>
      <c r="J1640" s="0" t="s">
        <v>43</v>
      </c>
      <c r="K1640" s="5"/>
      <c r="L1640" s="0"/>
      <c r="U1640" s="0"/>
      <c r="V1640" s="0"/>
      <c r="W1640" s="0"/>
      <c r="X1640" s="0"/>
      <c r="Y1640" s="0"/>
    </row>
    <row r="1641" customFormat="false" ht="12.8" hidden="false" customHeight="false" outlineLevel="0" collapsed="false">
      <c r="G1641" s="3" t="n">
        <v>45106</v>
      </c>
      <c r="H1641" s="43" t="s">
        <v>23</v>
      </c>
      <c r="I1641" s="5" t="n">
        <v>-5</v>
      </c>
      <c r="J1641" s="0" t="s">
        <v>82</v>
      </c>
      <c r="K1641" s="5"/>
      <c r="L1641" s="0"/>
      <c r="U1641" s="0"/>
      <c r="V1641" s="0"/>
      <c r="W1641" s="0"/>
      <c r="X1641" s="0"/>
      <c r="Y1641" s="0"/>
    </row>
    <row r="1642" customFormat="false" ht="12.8" hidden="false" customHeight="false" outlineLevel="0" collapsed="false">
      <c r="G1642" s="3" t="n">
        <v>45107</v>
      </c>
      <c r="H1642" s="43" t="s">
        <v>23</v>
      </c>
      <c r="I1642" s="5" t="n">
        <v>-40</v>
      </c>
      <c r="J1642" s="0" t="s">
        <v>37</v>
      </c>
      <c r="K1642" s="0"/>
      <c r="L1642" s="0"/>
      <c r="U1642" s="0"/>
      <c r="V1642" s="0"/>
      <c r="W1642" s="0"/>
      <c r="X1642" s="0"/>
      <c r="Y1642" s="0"/>
    </row>
    <row r="1643" customFormat="false" ht="12.8" hidden="false" customHeight="false" outlineLevel="0" collapsed="false">
      <c r="G1643" s="3" t="n">
        <v>45107</v>
      </c>
      <c r="H1643" s="43" t="s">
        <v>23</v>
      </c>
      <c r="I1643" s="5" t="n">
        <v>-14.57</v>
      </c>
      <c r="J1643" s="0" t="s">
        <v>37</v>
      </c>
      <c r="K1643" s="0"/>
      <c r="L1643" s="0"/>
      <c r="U1643" s="0"/>
      <c r="V1643" s="0"/>
      <c r="W1643" s="0"/>
      <c r="X1643" s="0"/>
      <c r="Y1643" s="0"/>
    </row>
    <row r="1644" customFormat="false" ht="12.8" hidden="false" customHeight="false" outlineLevel="0" collapsed="false">
      <c r="G1644" s="3" t="n">
        <v>45107</v>
      </c>
      <c r="H1644" s="26" t="s">
        <v>10</v>
      </c>
      <c r="I1644" s="5" t="n">
        <v>0.76</v>
      </c>
      <c r="J1644" s="0" t="s">
        <v>40</v>
      </c>
      <c r="K1644" s="0"/>
      <c r="L1644" s="0"/>
      <c r="U1644" s="0"/>
      <c r="V1644" s="0"/>
      <c r="W1644" s="0"/>
      <c r="X1644" s="0"/>
      <c r="Y1644" s="0"/>
    </row>
    <row r="1645" customFormat="false" ht="12.8" hidden="false" customHeight="false" outlineLevel="0" collapsed="false">
      <c r="G1645" s="3" t="n">
        <v>45108</v>
      </c>
      <c r="H1645" s="48" t="s">
        <v>26</v>
      </c>
      <c r="I1645" s="5" t="n">
        <v>-5</v>
      </c>
      <c r="J1645" s="0" t="s">
        <v>61</v>
      </c>
      <c r="K1645" s="0"/>
      <c r="L1645" s="0"/>
      <c r="U1645" s="0"/>
      <c r="V1645" s="0"/>
      <c r="W1645" s="0"/>
      <c r="X1645" s="0"/>
      <c r="Y1645" s="0"/>
    </row>
    <row r="1646" customFormat="false" ht="12.8" hidden="false" customHeight="false" outlineLevel="0" collapsed="false">
      <c r="G1646" s="3" t="n">
        <v>45108</v>
      </c>
      <c r="H1646" s="43" t="s">
        <v>23</v>
      </c>
      <c r="I1646" s="5" t="n">
        <v>-40</v>
      </c>
      <c r="J1646" s="0" t="s">
        <v>37</v>
      </c>
      <c r="K1646" s="0"/>
      <c r="L1646" s="0"/>
      <c r="U1646" s="0"/>
      <c r="V1646" s="0"/>
      <c r="W1646" s="0"/>
      <c r="X1646" s="0"/>
      <c r="Y1646" s="0"/>
    </row>
    <row r="1647" customFormat="false" ht="12.8" hidden="false" customHeight="false" outlineLevel="0" collapsed="false">
      <c r="G1647" s="3" t="n">
        <v>45108</v>
      </c>
      <c r="H1647" s="43" t="s">
        <v>23</v>
      </c>
      <c r="I1647" s="5" t="n">
        <v>-15.88</v>
      </c>
      <c r="J1647" s="0" t="s">
        <v>37</v>
      </c>
      <c r="K1647" s="0"/>
      <c r="L1647" s="0"/>
      <c r="U1647" s="0"/>
      <c r="V1647" s="0"/>
      <c r="W1647" s="0"/>
      <c r="X1647" s="0"/>
      <c r="Y1647" s="0"/>
    </row>
    <row r="1648" customFormat="false" ht="12.8" hidden="false" customHeight="false" outlineLevel="0" collapsed="false">
      <c r="G1648" s="3" t="n">
        <v>45108</v>
      </c>
      <c r="H1648" s="43" t="s">
        <v>23</v>
      </c>
      <c r="I1648" s="5" t="n">
        <f aca="false">-(36+9.45+18)</f>
        <v>-63.45</v>
      </c>
      <c r="J1648" s="0" t="s">
        <v>134</v>
      </c>
      <c r="K1648" s="0"/>
      <c r="L1648" s="0"/>
      <c r="U1648" s="0"/>
      <c r="V1648" s="0"/>
      <c r="W1648" s="0"/>
      <c r="X1648" s="0"/>
      <c r="Y1648" s="0"/>
    </row>
    <row r="1649" customFormat="false" ht="12.8" hidden="false" customHeight="false" outlineLevel="0" collapsed="false">
      <c r="G1649" s="3" t="n">
        <v>45109</v>
      </c>
      <c r="H1649" s="43" t="s">
        <v>23</v>
      </c>
      <c r="I1649" s="5" t="n">
        <v>-40</v>
      </c>
      <c r="J1649" s="0" t="s">
        <v>37</v>
      </c>
      <c r="K1649" s="0"/>
      <c r="L1649" s="0"/>
      <c r="U1649" s="0"/>
      <c r="V1649" s="0"/>
      <c r="W1649" s="0"/>
      <c r="X1649" s="0"/>
      <c r="Y1649" s="0"/>
    </row>
    <row r="1650" customFormat="false" ht="12.8" hidden="false" customHeight="false" outlineLevel="0" collapsed="false">
      <c r="G1650" s="3" t="n">
        <v>45110</v>
      </c>
      <c r="H1650" s="48" t="s">
        <v>26</v>
      </c>
      <c r="I1650" s="5" t="n">
        <v>-5</v>
      </c>
      <c r="J1650" s="0" t="s">
        <v>82</v>
      </c>
      <c r="K1650" s="0"/>
      <c r="L1650" s="0"/>
      <c r="U1650" s="0"/>
      <c r="V1650" s="0"/>
      <c r="W1650" s="0"/>
      <c r="X1650" s="0"/>
      <c r="Y1650" s="0"/>
    </row>
    <row r="1651" customFormat="false" ht="12.8" hidden="false" customHeight="false" outlineLevel="0" collapsed="false">
      <c r="G1651" s="3" t="n">
        <v>45110</v>
      </c>
      <c r="H1651" s="52" t="s">
        <v>14</v>
      </c>
      <c r="I1651" s="5" t="n">
        <v>1.19</v>
      </c>
      <c r="J1651" s="10" t="s">
        <v>40</v>
      </c>
      <c r="K1651" s="5"/>
      <c r="L1651" s="0"/>
      <c r="U1651" s="0"/>
      <c r="V1651" s="0"/>
      <c r="W1651" s="0"/>
      <c r="X1651" s="0"/>
      <c r="Y1651" s="0"/>
    </row>
    <row r="1652" customFormat="false" ht="12.8" hidden="false" customHeight="false" outlineLevel="0" collapsed="false">
      <c r="G1652" s="3" t="n">
        <v>45110</v>
      </c>
      <c r="H1652" s="52" t="s">
        <v>14</v>
      </c>
      <c r="I1652" s="5" t="n">
        <v>-1500</v>
      </c>
      <c r="J1652" s="10" t="s">
        <v>66</v>
      </c>
      <c r="K1652" s="5"/>
      <c r="L1652" s="0"/>
      <c r="U1652" s="0"/>
      <c r="V1652" s="0"/>
      <c r="W1652" s="0"/>
      <c r="X1652" s="0"/>
      <c r="Y1652" s="0"/>
    </row>
    <row r="1653" customFormat="false" ht="12.8" hidden="false" customHeight="false" outlineLevel="0" collapsed="false">
      <c r="G1653" s="3" t="n">
        <v>45110</v>
      </c>
      <c r="H1653" s="48" t="s">
        <v>26</v>
      </c>
      <c r="I1653" s="5" t="n">
        <v>1500</v>
      </c>
      <c r="J1653" s="10" t="s">
        <v>66</v>
      </c>
      <c r="K1653" s="5"/>
      <c r="L1653" s="0"/>
      <c r="U1653" s="0"/>
      <c r="V1653" s="0"/>
      <c r="W1653" s="0"/>
      <c r="X1653" s="0"/>
      <c r="Y1653" s="0"/>
    </row>
    <row r="1654" customFormat="false" ht="12.8" hidden="false" customHeight="false" outlineLevel="0" collapsed="false">
      <c r="G1654" s="3" t="n">
        <v>45110</v>
      </c>
      <c r="H1654" s="48" t="s">
        <v>26</v>
      </c>
      <c r="I1654" s="5" t="n">
        <v>-1500</v>
      </c>
      <c r="J1654" s="55" t="s">
        <v>144</v>
      </c>
      <c r="K1654" s="5"/>
      <c r="L1654" s="0"/>
      <c r="U1654" s="0"/>
      <c r="V1654" s="0"/>
      <c r="W1654" s="0"/>
      <c r="X1654" s="0"/>
      <c r="Y1654" s="0"/>
    </row>
    <row r="1655" customFormat="false" ht="12.8" hidden="false" customHeight="false" outlineLevel="0" collapsed="false">
      <c r="G1655" s="3" t="n">
        <v>45110</v>
      </c>
      <c r="H1655" s="48" t="s">
        <v>26</v>
      </c>
      <c r="I1655" s="5" t="n">
        <v>-3</v>
      </c>
      <c r="J1655" s="55" t="s">
        <v>92</v>
      </c>
      <c r="K1655" s="5"/>
      <c r="L1655" s="0"/>
      <c r="U1655" s="0"/>
      <c r="V1655" s="0"/>
      <c r="W1655" s="0"/>
      <c r="X1655" s="0"/>
      <c r="Y1655" s="0"/>
    </row>
    <row r="1656" customFormat="false" ht="12.8" hidden="false" customHeight="false" outlineLevel="0" collapsed="false">
      <c r="G1656" s="3" t="n">
        <v>45110</v>
      </c>
      <c r="H1656" s="32" t="s">
        <v>15</v>
      </c>
      <c r="I1656" s="5" t="n">
        <v>1500</v>
      </c>
      <c r="J1656" s="55" t="s">
        <v>144</v>
      </c>
      <c r="K1656" s="5"/>
      <c r="L1656" s="0"/>
      <c r="U1656" s="0"/>
      <c r="V1656" s="0"/>
      <c r="W1656" s="0"/>
      <c r="X1656" s="0"/>
      <c r="Y1656" s="0"/>
    </row>
    <row r="1657" customFormat="false" ht="12.8" hidden="false" customHeight="false" outlineLevel="0" collapsed="false">
      <c r="G1657" s="3" t="n">
        <v>45110</v>
      </c>
      <c r="H1657" s="43" t="s">
        <v>23</v>
      </c>
      <c r="I1657" s="5" t="n">
        <v>-42</v>
      </c>
      <c r="J1657" s="0" t="s">
        <v>37</v>
      </c>
      <c r="K1657" s="0"/>
      <c r="L1657" s="0"/>
      <c r="U1657" s="0"/>
      <c r="V1657" s="0"/>
      <c r="W1657" s="0"/>
      <c r="X1657" s="0"/>
      <c r="Y1657" s="0"/>
    </row>
    <row r="1658" customFormat="false" ht="12.8" hidden="false" customHeight="false" outlineLevel="0" collapsed="false">
      <c r="G1658" s="3" t="n">
        <v>45110</v>
      </c>
      <c r="H1658" s="43" t="s">
        <v>23</v>
      </c>
      <c r="I1658" s="5" t="n">
        <v>-24.79</v>
      </c>
      <c r="J1658" s="0" t="s">
        <v>37</v>
      </c>
      <c r="K1658" s="0"/>
      <c r="L1658" s="0"/>
      <c r="U1658" s="0"/>
      <c r="V1658" s="0"/>
      <c r="W1658" s="0"/>
      <c r="X1658" s="0"/>
      <c r="Y1658" s="0"/>
    </row>
    <row r="1659" customFormat="false" ht="12.8" hidden="false" customHeight="false" outlineLevel="0" collapsed="false">
      <c r="G1659" s="3" t="n">
        <v>45110</v>
      </c>
      <c r="H1659" s="32" t="s">
        <v>15</v>
      </c>
      <c r="I1659" s="5" t="n">
        <v>-1500</v>
      </c>
      <c r="J1659" s="0" t="s">
        <v>104</v>
      </c>
      <c r="K1659" s="0"/>
      <c r="L1659" s="0"/>
      <c r="U1659" s="0"/>
      <c r="V1659" s="0"/>
      <c r="W1659" s="0"/>
      <c r="X1659" s="0"/>
      <c r="Y1659" s="0"/>
    </row>
    <row r="1660" customFormat="false" ht="12.8" hidden="false" customHeight="false" outlineLevel="0" collapsed="false">
      <c r="G1660" s="3" t="n">
        <v>45110</v>
      </c>
      <c r="H1660" s="26" t="s">
        <v>10</v>
      </c>
      <c r="I1660" s="5" t="n">
        <v>1500</v>
      </c>
      <c r="J1660" s="0" t="s">
        <v>104</v>
      </c>
      <c r="K1660" s="0"/>
      <c r="L1660" s="0"/>
      <c r="U1660" s="0"/>
      <c r="V1660" s="0"/>
      <c r="W1660" s="0"/>
      <c r="X1660" s="0"/>
      <c r="Y1660" s="0"/>
    </row>
    <row r="1661" customFormat="false" ht="12.8" hidden="false" customHeight="false" outlineLevel="0" collapsed="false">
      <c r="G1661" s="3" t="n">
        <v>45111</v>
      </c>
      <c r="H1661" s="43" t="s">
        <v>23</v>
      </c>
      <c r="I1661" s="5" t="n">
        <v>-35.74</v>
      </c>
      <c r="J1661" s="0" t="s">
        <v>37</v>
      </c>
      <c r="K1661" s="0"/>
      <c r="L1661" s="0"/>
      <c r="U1661" s="0"/>
      <c r="V1661" s="0"/>
      <c r="W1661" s="0"/>
      <c r="X1661" s="0"/>
      <c r="Y1661" s="0"/>
    </row>
    <row r="1662" customFormat="false" ht="12.8" hidden="false" customHeight="false" outlineLevel="0" collapsed="false">
      <c r="G1662" s="3" t="n">
        <v>45111</v>
      </c>
      <c r="H1662" s="26" t="s">
        <v>10</v>
      </c>
      <c r="I1662" s="5" t="n">
        <v>-1000</v>
      </c>
      <c r="J1662" s="54" t="s">
        <v>38</v>
      </c>
      <c r="K1662" s="0"/>
      <c r="L1662" s="0"/>
      <c r="U1662" s="0"/>
      <c r="V1662" s="0"/>
      <c r="W1662" s="0"/>
      <c r="X1662" s="0"/>
      <c r="Y1662" s="0"/>
    </row>
    <row r="1663" customFormat="false" ht="12.8" hidden="false" customHeight="false" outlineLevel="0" collapsed="false">
      <c r="G1663" s="3" t="n">
        <v>45111</v>
      </c>
      <c r="H1663" s="32" t="s">
        <v>15</v>
      </c>
      <c r="I1663" s="5" t="n">
        <v>1000</v>
      </c>
      <c r="J1663" s="54" t="s">
        <v>38</v>
      </c>
      <c r="K1663" s="0"/>
      <c r="L1663" s="0"/>
      <c r="U1663" s="0"/>
      <c r="V1663" s="0"/>
      <c r="W1663" s="0"/>
      <c r="X1663" s="0"/>
      <c r="Y1663" s="0"/>
    </row>
    <row r="1664" customFormat="false" ht="12.8" hidden="false" customHeight="false" outlineLevel="0" collapsed="false">
      <c r="G1664" s="3" t="n">
        <v>45111</v>
      </c>
      <c r="H1664" s="32" t="s">
        <v>15</v>
      </c>
      <c r="I1664" s="5" t="n">
        <v>-1000</v>
      </c>
      <c r="J1664" s="54" t="s">
        <v>145</v>
      </c>
      <c r="K1664" s="0"/>
      <c r="L1664" s="0"/>
      <c r="U1664" s="0"/>
      <c r="V1664" s="0"/>
      <c r="W1664" s="0"/>
      <c r="X1664" s="0"/>
      <c r="Y1664" s="0"/>
    </row>
    <row r="1665" customFormat="false" ht="12.8" hidden="false" customHeight="false" outlineLevel="0" collapsed="false">
      <c r="G1665" s="3" t="n">
        <v>45111</v>
      </c>
      <c r="H1665" s="48" t="s">
        <v>26</v>
      </c>
      <c r="I1665" s="5" t="n">
        <v>1000</v>
      </c>
      <c r="J1665" s="55" t="s">
        <v>145</v>
      </c>
      <c r="K1665" s="0"/>
      <c r="L1665" s="0"/>
      <c r="U1665" s="0"/>
      <c r="V1665" s="0"/>
      <c r="W1665" s="0"/>
      <c r="X1665" s="0"/>
      <c r="Y1665" s="0"/>
    </row>
    <row r="1666" customFormat="false" ht="12.8" hidden="false" customHeight="false" outlineLevel="0" collapsed="false">
      <c r="G1666" s="3" t="n">
        <v>45111</v>
      </c>
      <c r="H1666" s="48" t="s">
        <v>26</v>
      </c>
      <c r="I1666" s="5" t="n">
        <v>-1001</v>
      </c>
      <c r="J1666" s="0" t="s">
        <v>104</v>
      </c>
      <c r="K1666" s="0"/>
      <c r="L1666" s="0"/>
      <c r="U1666" s="0"/>
      <c r="V1666" s="0"/>
      <c r="W1666" s="0"/>
      <c r="X1666" s="0"/>
      <c r="Y1666" s="0"/>
    </row>
    <row r="1667" customFormat="false" ht="12.8" hidden="false" customHeight="false" outlineLevel="0" collapsed="false">
      <c r="G1667" s="3" t="n">
        <v>45111</v>
      </c>
      <c r="H1667" s="52" t="s">
        <v>14</v>
      </c>
      <c r="I1667" s="5" t="n">
        <v>1001</v>
      </c>
      <c r="J1667" s="0" t="s">
        <v>104</v>
      </c>
      <c r="K1667" s="0"/>
      <c r="L1667" s="0"/>
      <c r="U1667" s="0"/>
      <c r="V1667" s="0"/>
      <c r="W1667" s="0"/>
      <c r="X1667" s="0"/>
      <c r="Y1667" s="0"/>
    </row>
    <row r="1668" customFormat="false" ht="12.8" hidden="false" customHeight="false" outlineLevel="0" collapsed="false">
      <c r="G1668" s="3" t="n">
        <v>45111</v>
      </c>
      <c r="H1668" s="52" t="s">
        <v>14</v>
      </c>
      <c r="I1668" s="5" t="n">
        <v>0.01</v>
      </c>
      <c r="J1668" s="0" t="s">
        <v>40</v>
      </c>
      <c r="K1668" s="0"/>
      <c r="L1668" s="0"/>
      <c r="U1668" s="0"/>
      <c r="V1668" s="0"/>
      <c r="W1668" s="0"/>
      <c r="X1668" s="0"/>
      <c r="Y1668" s="0"/>
    </row>
    <row r="1669" customFormat="false" ht="12.8" hidden="false" customHeight="false" outlineLevel="0" collapsed="false">
      <c r="G1669" s="3" t="n">
        <v>45111</v>
      </c>
      <c r="H1669" s="26" t="s">
        <v>10</v>
      </c>
      <c r="I1669" s="5" t="n">
        <v>-500</v>
      </c>
      <c r="J1669" s="54" t="s">
        <v>38</v>
      </c>
      <c r="K1669" s="0"/>
      <c r="L1669" s="0"/>
      <c r="U1669" s="0"/>
      <c r="V1669" s="0"/>
      <c r="W1669" s="0"/>
      <c r="X1669" s="0"/>
      <c r="Y1669" s="0"/>
    </row>
    <row r="1670" customFormat="false" ht="12.8" hidden="false" customHeight="false" outlineLevel="0" collapsed="false">
      <c r="G1670" s="3" t="n">
        <v>45111</v>
      </c>
      <c r="H1670" s="32" t="s">
        <v>15</v>
      </c>
      <c r="I1670" s="5" t="n">
        <v>500</v>
      </c>
      <c r="J1670" s="54" t="s">
        <v>38</v>
      </c>
      <c r="K1670" s="0"/>
      <c r="L1670" s="0"/>
      <c r="U1670" s="0"/>
      <c r="V1670" s="0"/>
      <c r="W1670" s="0"/>
      <c r="X1670" s="0"/>
      <c r="Y1670" s="0"/>
    </row>
    <row r="1671" customFormat="false" ht="12.8" hidden="false" customHeight="false" outlineLevel="0" collapsed="false">
      <c r="G1671" s="3" t="n">
        <v>45111</v>
      </c>
      <c r="H1671" s="32" t="s">
        <v>15</v>
      </c>
      <c r="I1671" s="5" t="n">
        <v>-250</v>
      </c>
      <c r="J1671" s="0" t="s">
        <v>46</v>
      </c>
      <c r="K1671" s="0"/>
      <c r="L1671" s="0"/>
      <c r="U1671" s="0"/>
      <c r="V1671" s="0"/>
      <c r="W1671" s="0"/>
      <c r="X1671" s="0"/>
      <c r="Y1671" s="0"/>
    </row>
    <row r="1672" customFormat="false" ht="12.8" hidden="false" customHeight="false" outlineLevel="0" collapsed="false">
      <c r="G1672" s="3" t="n">
        <v>45111</v>
      </c>
      <c r="H1672" s="32" t="s">
        <v>15</v>
      </c>
      <c r="I1672" s="5" t="n">
        <v>-250</v>
      </c>
      <c r="J1672" s="0" t="s">
        <v>104</v>
      </c>
      <c r="K1672" s="0"/>
      <c r="L1672" s="0"/>
      <c r="U1672" s="0"/>
      <c r="V1672" s="0"/>
      <c r="W1672" s="0"/>
      <c r="X1672" s="0"/>
      <c r="Y1672" s="0"/>
    </row>
    <row r="1673" customFormat="false" ht="12.8" hidden="false" customHeight="false" outlineLevel="0" collapsed="false">
      <c r="G1673" s="3" t="n">
        <v>45111</v>
      </c>
      <c r="H1673" s="26" t="s">
        <v>10</v>
      </c>
      <c r="I1673" s="5" t="n">
        <v>250</v>
      </c>
      <c r="J1673" s="0" t="s">
        <v>104</v>
      </c>
      <c r="K1673" s="0"/>
      <c r="L1673" s="0"/>
      <c r="U1673" s="0"/>
      <c r="V1673" s="0"/>
      <c r="W1673" s="0"/>
      <c r="X1673" s="0"/>
      <c r="Y1673" s="0"/>
    </row>
    <row r="1674" customFormat="false" ht="12.8" hidden="false" customHeight="false" outlineLevel="0" collapsed="false">
      <c r="G1674" s="3" t="n">
        <v>45112</v>
      </c>
      <c r="H1674" s="43" t="s">
        <v>23</v>
      </c>
      <c r="I1674" s="5" t="n">
        <v>-42</v>
      </c>
      <c r="J1674" s="0" t="s">
        <v>115</v>
      </c>
      <c r="K1674" s="0"/>
      <c r="L1674" s="0"/>
      <c r="U1674" s="0"/>
      <c r="V1674" s="0"/>
      <c r="W1674" s="0"/>
      <c r="X1674" s="0"/>
      <c r="Y1674" s="0"/>
    </row>
    <row r="1675" customFormat="false" ht="12.8" hidden="false" customHeight="false" outlineLevel="0" collapsed="false">
      <c r="G1675" s="3" t="n">
        <v>45112</v>
      </c>
      <c r="H1675" s="43" t="s">
        <v>23</v>
      </c>
      <c r="I1675" s="5" t="n">
        <f aca="false">-7.05-13.2</f>
        <v>-20.25</v>
      </c>
      <c r="J1675" s="0" t="s">
        <v>37</v>
      </c>
      <c r="K1675" s="0"/>
      <c r="L1675" s="0"/>
      <c r="U1675" s="0"/>
      <c r="V1675" s="0"/>
      <c r="W1675" s="0"/>
      <c r="X1675" s="0"/>
      <c r="Y1675" s="0"/>
    </row>
    <row r="1676" customFormat="false" ht="12.8" hidden="false" customHeight="false" outlineLevel="0" collapsed="false">
      <c r="G1676" s="3" t="n">
        <v>45112</v>
      </c>
      <c r="H1676" s="43" t="s">
        <v>23</v>
      </c>
      <c r="I1676" s="5" t="n">
        <v>-39.86</v>
      </c>
      <c r="J1676" s="0" t="s">
        <v>37</v>
      </c>
      <c r="K1676" s="0"/>
      <c r="L1676" s="0"/>
      <c r="U1676" s="0"/>
      <c r="V1676" s="0"/>
      <c r="W1676" s="0"/>
      <c r="X1676" s="0"/>
      <c r="Y1676" s="0"/>
    </row>
    <row r="1677" customFormat="false" ht="12.8" hidden="false" customHeight="false" outlineLevel="0" collapsed="false">
      <c r="G1677" s="3" t="n">
        <v>45113</v>
      </c>
      <c r="H1677" s="43" t="s">
        <v>23</v>
      </c>
      <c r="I1677" s="5" t="n">
        <v>-42</v>
      </c>
      <c r="J1677" s="0" t="s">
        <v>115</v>
      </c>
      <c r="K1677" s="0"/>
      <c r="L1677" s="0"/>
      <c r="U1677" s="0"/>
      <c r="V1677" s="0"/>
      <c r="W1677" s="0"/>
      <c r="X1677" s="0"/>
      <c r="Y1677" s="0"/>
    </row>
    <row r="1678" customFormat="false" ht="12.8" hidden="false" customHeight="false" outlineLevel="0" collapsed="false">
      <c r="G1678" s="3" t="n">
        <v>45113</v>
      </c>
      <c r="H1678" s="43" t="s">
        <v>23</v>
      </c>
      <c r="I1678" s="5" t="n">
        <v>-12.96</v>
      </c>
      <c r="J1678" s="0" t="s">
        <v>37</v>
      </c>
      <c r="K1678" s="0"/>
      <c r="L1678" s="0"/>
      <c r="U1678" s="0"/>
      <c r="V1678" s="0"/>
      <c r="W1678" s="0"/>
      <c r="X1678" s="0"/>
      <c r="Y1678" s="0"/>
    </row>
    <row r="1679" customFormat="false" ht="12.8" hidden="false" customHeight="false" outlineLevel="0" collapsed="false">
      <c r="G1679" s="3" t="n">
        <v>45113</v>
      </c>
      <c r="H1679" s="43" t="s">
        <v>23</v>
      </c>
      <c r="I1679" s="5" t="n">
        <v>-30</v>
      </c>
      <c r="J1679" s="0" t="s">
        <v>46</v>
      </c>
      <c r="K1679" s="0"/>
      <c r="L1679" s="0"/>
      <c r="U1679" s="0"/>
      <c r="V1679" s="0"/>
      <c r="W1679" s="0"/>
      <c r="X1679" s="0"/>
      <c r="Y1679" s="0"/>
    </row>
    <row r="1680" customFormat="false" ht="12.8" hidden="false" customHeight="false" outlineLevel="0" collapsed="false">
      <c r="G1680" s="3" t="n">
        <v>45114</v>
      </c>
      <c r="H1680" s="52" t="s">
        <v>14</v>
      </c>
      <c r="I1680" s="5" t="n">
        <v>0.39</v>
      </c>
      <c r="J1680" s="10" t="s">
        <v>40</v>
      </c>
      <c r="K1680" s="0"/>
      <c r="L1680" s="0"/>
      <c r="U1680" s="0"/>
      <c r="V1680" s="0"/>
      <c r="W1680" s="0"/>
      <c r="X1680" s="0"/>
      <c r="Y1680" s="0"/>
    </row>
    <row r="1681" customFormat="false" ht="12.8" hidden="false" customHeight="false" outlineLevel="0" collapsed="false">
      <c r="G1681" s="3" t="n">
        <v>45114</v>
      </c>
      <c r="H1681" s="52" t="s">
        <v>14</v>
      </c>
      <c r="I1681" s="5" t="n">
        <v>-503</v>
      </c>
      <c r="J1681" s="10" t="s">
        <v>66</v>
      </c>
      <c r="K1681" s="0"/>
      <c r="L1681" s="0"/>
      <c r="U1681" s="0"/>
      <c r="V1681" s="0"/>
      <c r="W1681" s="0"/>
      <c r="X1681" s="0"/>
      <c r="Y1681" s="0"/>
    </row>
    <row r="1682" customFormat="false" ht="12.8" hidden="false" customHeight="false" outlineLevel="0" collapsed="false">
      <c r="G1682" s="3" t="n">
        <v>45114</v>
      </c>
      <c r="H1682" s="48" t="s">
        <v>26</v>
      </c>
      <c r="I1682" s="5" t="n">
        <v>503</v>
      </c>
      <c r="J1682" s="10" t="s">
        <v>66</v>
      </c>
      <c r="K1682" s="0"/>
      <c r="L1682" s="0"/>
      <c r="U1682" s="0"/>
      <c r="V1682" s="0"/>
      <c r="W1682" s="0"/>
      <c r="X1682" s="0"/>
      <c r="Y1682" s="0"/>
    </row>
    <row r="1683" customFormat="false" ht="12.8" hidden="false" customHeight="false" outlineLevel="0" collapsed="false">
      <c r="G1683" s="3" t="n">
        <v>45114</v>
      </c>
      <c r="H1683" s="48" t="s">
        <v>26</v>
      </c>
      <c r="I1683" s="5" t="n">
        <v>-500</v>
      </c>
      <c r="J1683" s="55" t="s">
        <v>146</v>
      </c>
      <c r="K1683" s="0"/>
      <c r="L1683" s="0"/>
      <c r="U1683" s="0"/>
      <c r="V1683" s="0"/>
      <c r="W1683" s="0"/>
      <c r="X1683" s="0"/>
      <c r="Y1683" s="0"/>
    </row>
    <row r="1684" customFormat="false" ht="12.8" hidden="false" customHeight="false" outlineLevel="0" collapsed="false">
      <c r="G1684" s="3" t="n">
        <v>45114</v>
      </c>
      <c r="H1684" s="48" t="s">
        <v>26</v>
      </c>
      <c r="I1684" s="5" t="n">
        <v>-3</v>
      </c>
      <c r="J1684" s="55" t="s">
        <v>92</v>
      </c>
      <c r="K1684" s="0"/>
      <c r="L1684" s="0"/>
      <c r="U1684" s="0"/>
      <c r="V1684" s="0"/>
      <c r="W1684" s="0"/>
      <c r="X1684" s="0"/>
      <c r="Y1684" s="0"/>
    </row>
    <row r="1685" customFormat="false" ht="12.8" hidden="false" customHeight="false" outlineLevel="0" collapsed="false">
      <c r="G1685" s="3" t="n">
        <v>45114</v>
      </c>
      <c r="H1685" s="32" t="s">
        <v>15</v>
      </c>
      <c r="I1685" s="5" t="n">
        <v>500</v>
      </c>
      <c r="J1685" s="55" t="s">
        <v>146</v>
      </c>
      <c r="K1685" s="0"/>
      <c r="L1685" s="0"/>
      <c r="U1685" s="0"/>
      <c r="V1685" s="0"/>
      <c r="W1685" s="0"/>
      <c r="X1685" s="0"/>
      <c r="Y1685" s="0"/>
    </row>
    <row r="1686" customFormat="false" ht="12.8" hidden="false" customHeight="false" outlineLevel="0" collapsed="false">
      <c r="G1686" s="3" t="n">
        <v>45114</v>
      </c>
      <c r="H1686" s="43" t="s">
        <v>23</v>
      </c>
      <c r="I1686" s="5" t="n">
        <v>-42</v>
      </c>
      <c r="J1686" s="0" t="s">
        <v>115</v>
      </c>
      <c r="K1686" s="0"/>
      <c r="L1686" s="0"/>
      <c r="U1686" s="0"/>
      <c r="V1686" s="0"/>
      <c r="W1686" s="0"/>
      <c r="X1686" s="0"/>
      <c r="Y1686" s="0"/>
    </row>
    <row r="1687" customFormat="false" ht="12.8" hidden="false" customHeight="false" outlineLevel="0" collapsed="false">
      <c r="G1687" s="3" t="n">
        <v>45114</v>
      </c>
      <c r="H1687" s="43" t="s">
        <v>23</v>
      </c>
      <c r="I1687" s="5" t="n">
        <v>-24.23</v>
      </c>
      <c r="J1687" s="0" t="s">
        <v>37</v>
      </c>
      <c r="K1687" s="0"/>
      <c r="L1687" s="0"/>
      <c r="U1687" s="0"/>
      <c r="V1687" s="0"/>
      <c r="W1687" s="0"/>
      <c r="X1687" s="0"/>
      <c r="Y1687" s="0"/>
    </row>
    <row r="1688" customFormat="false" ht="12.8" hidden="false" customHeight="false" outlineLevel="0" collapsed="false">
      <c r="G1688" s="3" t="n">
        <v>45114</v>
      </c>
      <c r="H1688" s="32" t="s">
        <v>15</v>
      </c>
      <c r="I1688" s="5" t="n">
        <v>-500</v>
      </c>
      <c r="J1688" s="0" t="s">
        <v>104</v>
      </c>
      <c r="K1688" s="5"/>
      <c r="L1688" s="0"/>
      <c r="U1688" s="0"/>
      <c r="V1688" s="0"/>
      <c r="W1688" s="0"/>
      <c r="X1688" s="0"/>
      <c r="Y1688" s="0"/>
    </row>
    <row r="1689" customFormat="false" ht="12.8" hidden="false" customHeight="false" outlineLevel="0" collapsed="false">
      <c r="G1689" s="3" t="n">
        <v>45114</v>
      </c>
      <c r="H1689" s="26" t="s">
        <v>10</v>
      </c>
      <c r="I1689" s="5" t="n">
        <v>500</v>
      </c>
      <c r="J1689" s="0" t="s">
        <v>104</v>
      </c>
      <c r="K1689" s="5"/>
      <c r="L1689" s="0"/>
      <c r="U1689" s="0"/>
      <c r="V1689" s="0"/>
      <c r="W1689" s="0"/>
      <c r="X1689" s="0"/>
      <c r="Y1689" s="0"/>
    </row>
    <row r="1690" customFormat="false" ht="12.8" hidden="false" customHeight="false" outlineLevel="0" collapsed="false">
      <c r="G1690" s="3" t="n">
        <v>45115</v>
      </c>
      <c r="H1690" s="43" t="s">
        <v>23</v>
      </c>
      <c r="I1690" s="5" t="n">
        <v>-42</v>
      </c>
      <c r="J1690" s="0" t="s">
        <v>37</v>
      </c>
      <c r="K1690" s="5"/>
      <c r="L1690" s="0"/>
      <c r="U1690" s="0"/>
      <c r="V1690" s="0"/>
      <c r="W1690" s="0"/>
      <c r="X1690" s="0"/>
      <c r="Y1690" s="0"/>
    </row>
    <row r="1691" customFormat="false" ht="12.8" hidden="false" customHeight="false" outlineLevel="0" collapsed="false">
      <c r="G1691" s="3" t="n">
        <v>45115</v>
      </c>
      <c r="H1691" s="26" t="s">
        <v>10</v>
      </c>
      <c r="I1691" s="5" t="n">
        <v>-45</v>
      </c>
      <c r="J1691" s="54" t="s">
        <v>147</v>
      </c>
      <c r="K1691" s="0"/>
      <c r="L1691" s="0"/>
      <c r="U1691" s="0"/>
      <c r="V1691" s="0"/>
      <c r="W1691" s="0"/>
      <c r="X1691" s="0"/>
      <c r="Y1691" s="0"/>
    </row>
    <row r="1692" customFormat="false" ht="12.8" hidden="false" customHeight="false" outlineLevel="0" collapsed="false">
      <c r="G1692" s="3" t="n">
        <v>45115</v>
      </c>
      <c r="H1692" s="32" t="s">
        <v>15</v>
      </c>
      <c r="I1692" s="5" t="n">
        <v>45</v>
      </c>
      <c r="J1692" s="54" t="s">
        <v>147</v>
      </c>
      <c r="K1692" s="0"/>
      <c r="L1692" s="0"/>
      <c r="U1692" s="0"/>
      <c r="V1692" s="0"/>
      <c r="W1692" s="0"/>
      <c r="X1692" s="0"/>
      <c r="Y1692" s="0"/>
    </row>
    <row r="1693" customFormat="false" ht="12.8" hidden="false" customHeight="false" outlineLevel="0" collapsed="false">
      <c r="G1693" s="3" t="n">
        <v>45115</v>
      </c>
      <c r="H1693" s="32" t="s">
        <v>15</v>
      </c>
      <c r="I1693" s="5" t="n">
        <f aca="false">-15-7.27</f>
        <v>-22.27</v>
      </c>
      <c r="J1693" s="0" t="s">
        <v>37</v>
      </c>
      <c r="K1693" s="0"/>
      <c r="L1693" s="0"/>
      <c r="U1693" s="0"/>
      <c r="V1693" s="0"/>
      <c r="W1693" s="0"/>
      <c r="X1693" s="0"/>
      <c r="Y1693" s="0"/>
    </row>
    <row r="1694" customFormat="false" ht="12.8" hidden="false" customHeight="false" outlineLevel="0" collapsed="false">
      <c r="G1694" s="3" t="n">
        <v>45115</v>
      </c>
      <c r="H1694" s="26" t="s">
        <v>10</v>
      </c>
      <c r="I1694" s="5" t="n">
        <v>-23</v>
      </c>
      <c r="J1694" s="54" t="s">
        <v>147</v>
      </c>
      <c r="K1694" s="0"/>
      <c r="L1694" s="0"/>
      <c r="U1694" s="0"/>
      <c r="V1694" s="0"/>
      <c r="W1694" s="0"/>
      <c r="X1694" s="0"/>
      <c r="Y1694" s="0"/>
    </row>
    <row r="1695" customFormat="false" ht="12.8" hidden="false" customHeight="false" outlineLevel="0" collapsed="false">
      <c r="F1695" s="3" t="n">
        <v>45115</v>
      </c>
      <c r="G1695" s="3" t="n">
        <v>45115</v>
      </c>
      <c r="H1695" s="32" t="s">
        <v>15</v>
      </c>
      <c r="I1695" s="5" t="n">
        <v>23</v>
      </c>
      <c r="J1695" s="54" t="s">
        <v>147</v>
      </c>
      <c r="K1695" s="0"/>
      <c r="L1695" s="0"/>
      <c r="U1695" s="0"/>
      <c r="V1695" s="0"/>
      <c r="W1695" s="0"/>
      <c r="X1695" s="0"/>
      <c r="Y1695" s="0"/>
    </row>
    <row r="1696" customFormat="false" ht="12.8" hidden="false" customHeight="false" outlineLevel="0" collapsed="false">
      <c r="F1696" s="3" t="n">
        <v>45115</v>
      </c>
      <c r="G1696" s="3" t="n">
        <v>45116</v>
      </c>
      <c r="H1696" s="32" t="s">
        <v>15</v>
      </c>
      <c r="I1696" s="5" t="n">
        <v>-21</v>
      </c>
      <c r="J1696" s="54" t="s">
        <v>115</v>
      </c>
      <c r="K1696" s="0"/>
      <c r="L1696" s="0"/>
      <c r="U1696" s="0"/>
      <c r="V1696" s="0"/>
      <c r="W1696" s="0"/>
      <c r="X1696" s="0"/>
      <c r="Y1696" s="0"/>
    </row>
    <row r="1697" customFormat="false" ht="12.8" hidden="false" customHeight="false" outlineLevel="0" collapsed="false">
      <c r="F1697" s="3"/>
      <c r="G1697" s="3" t="n">
        <v>45116</v>
      </c>
      <c r="H1697" s="32" t="s">
        <v>15</v>
      </c>
      <c r="I1697" s="5" t="n">
        <v>-15</v>
      </c>
      <c r="J1697" s="54" t="s">
        <v>37</v>
      </c>
      <c r="K1697" s="0"/>
      <c r="L1697" s="0"/>
      <c r="U1697" s="0"/>
      <c r="V1697" s="0"/>
      <c r="W1697" s="0"/>
      <c r="X1697" s="0"/>
      <c r="Y1697" s="0"/>
    </row>
    <row r="1698" customFormat="false" ht="12.8" hidden="false" customHeight="false" outlineLevel="0" collapsed="false">
      <c r="F1698" s="3"/>
      <c r="G1698" s="3" t="n">
        <v>45116</v>
      </c>
      <c r="H1698" s="26" t="s">
        <v>10</v>
      </c>
      <c r="I1698" s="5" t="n">
        <v>-36</v>
      </c>
      <c r="J1698" s="54" t="s">
        <v>147</v>
      </c>
      <c r="K1698" s="0"/>
      <c r="L1698" s="0"/>
      <c r="U1698" s="0"/>
      <c r="V1698" s="0"/>
      <c r="W1698" s="0"/>
      <c r="X1698" s="0"/>
      <c r="Y1698" s="0"/>
    </row>
    <row r="1699" customFormat="false" ht="12.8" hidden="false" customHeight="false" outlineLevel="0" collapsed="false">
      <c r="G1699" s="3" t="n">
        <v>45116</v>
      </c>
      <c r="H1699" s="32" t="s">
        <v>15</v>
      </c>
      <c r="I1699" s="5" t="n">
        <v>36</v>
      </c>
      <c r="J1699" s="54" t="s">
        <v>147</v>
      </c>
      <c r="K1699" s="0"/>
      <c r="L1699" s="0"/>
      <c r="U1699" s="0"/>
      <c r="V1699" s="0"/>
      <c r="W1699" s="0"/>
      <c r="X1699" s="0"/>
      <c r="Y1699" s="0"/>
    </row>
    <row r="1700" customFormat="false" ht="12.8" hidden="false" customHeight="false" outlineLevel="0" collapsed="false">
      <c r="G1700" s="3" t="n">
        <v>45117</v>
      </c>
      <c r="H1700" s="32" t="s">
        <v>15</v>
      </c>
      <c r="I1700" s="5" t="n">
        <v>-42</v>
      </c>
      <c r="J1700" s="54" t="s">
        <v>115</v>
      </c>
      <c r="K1700" s="0"/>
      <c r="L1700" s="0"/>
      <c r="U1700" s="0"/>
      <c r="V1700" s="0"/>
      <c r="W1700" s="0"/>
      <c r="X1700" s="0"/>
      <c r="Y1700" s="0"/>
    </row>
    <row r="1701" customFormat="false" ht="12.8" hidden="false" customHeight="false" outlineLevel="0" collapsed="false">
      <c r="G1701" s="3" t="n">
        <v>45117</v>
      </c>
      <c r="H1701" s="26" t="s">
        <v>10</v>
      </c>
      <c r="I1701" s="5" t="n">
        <v>-47</v>
      </c>
      <c r="J1701" s="0" t="s">
        <v>148</v>
      </c>
      <c r="K1701" s="0"/>
      <c r="L1701" s="0"/>
      <c r="U1701" s="0"/>
      <c r="V1701" s="0"/>
      <c r="W1701" s="0"/>
      <c r="X1701" s="0"/>
      <c r="Y1701" s="0"/>
    </row>
    <row r="1702" customFormat="false" ht="12.8" hidden="false" customHeight="false" outlineLevel="0" collapsed="false">
      <c r="G1702" s="3" t="n">
        <v>45117</v>
      </c>
      <c r="H1702" s="32" t="s">
        <v>15</v>
      </c>
      <c r="I1702" s="5" t="n">
        <v>47</v>
      </c>
      <c r="J1702" s="55" t="s">
        <v>148</v>
      </c>
      <c r="K1702" s="0"/>
      <c r="L1702" s="0"/>
      <c r="U1702" s="0"/>
      <c r="V1702" s="0"/>
      <c r="W1702" s="0"/>
      <c r="X1702" s="0"/>
      <c r="Y1702" s="0"/>
    </row>
    <row r="1703" customFormat="false" ht="12.8" hidden="false" customHeight="false" outlineLevel="0" collapsed="false">
      <c r="G1703" s="3" t="n">
        <v>45117</v>
      </c>
      <c r="H1703" s="32" t="s">
        <v>15</v>
      </c>
      <c r="I1703" s="5" t="n">
        <f aca="false">-19.72-14.87</f>
        <v>-34.59</v>
      </c>
      <c r="J1703" s="54" t="s">
        <v>37</v>
      </c>
      <c r="K1703" s="0"/>
      <c r="L1703" s="0"/>
      <c r="U1703" s="0"/>
      <c r="V1703" s="0"/>
      <c r="W1703" s="0"/>
      <c r="X1703" s="0"/>
      <c r="Y1703" s="0"/>
    </row>
    <row r="1704" customFormat="false" ht="12.8" hidden="false" customHeight="false" outlineLevel="0" collapsed="false">
      <c r="G1704" s="3" t="n">
        <v>45117</v>
      </c>
      <c r="H1704" s="26" t="s">
        <v>10</v>
      </c>
      <c r="I1704" s="5" t="n">
        <v>-4</v>
      </c>
      <c r="J1704" s="0" t="s">
        <v>148</v>
      </c>
      <c r="K1704" s="0"/>
      <c r="L1704" s="0"/>
      <c r="U1704" s="0"/>
      <c r="V1704" s="0"/>
      <c r="W1704" s="0"/>
      <c r="X1704" s="0"/>
      <c r="Y1704" s="0"/>
    </row>
    <row r="1705" customFormat="false" ht="12.8" hidden="false" customHeight="false" outlineLevel="0" collapsed="false">
      <c r="G1705" s="3" t="n">
        <v>45117</v>
      </c>
      <c r="H1705" s="32" t="s">
        <v>15</v>
      </c>
      <c r="I1705" s="5" t="n">
        <v>4</v>
      </c>
      <c r="J1705" s="55" t="s">
        <v>148</v>
      </c>
      <c r="K1705" s="0"/>
      <c r="L1705" s="0"/>
      <c r="U1705" s="0"/>
      <c r="V1705" s="0"/>
      <c r="W1705" s="0"/>
      <c r="X1705" s="0"/>
      <c r="Y1705" s="0"/>
    </row>
    <row r="1706" customFormat="false" ht="12.8" hidden="false" customHeight="false" outlineLevel="0" collapsed="false">
      <c r="G1706" s="3" t="n">
        <v>45117</v>
      </c>
      <c r="H1706" s="32" t="s">
        <v>15</v>
      </c>
      <c r="I1706" s="5" t="n">
        <v>-18.49</v>
      </c>
      <c r="J1706" s="54" t="s">
        <v>37</v>
      </c>
      <c r="K1706" s="0"/>
      <c r="L1706" s="0"/>
      <c r="U1706" s="0"/>
      <c r="V1706" s="0"/>
      <c r="W1706" s="0"/>
      <c r="X1706" s="0"/>
      <c r="Y1706" s="0"/>
    </row>
    <row r="1707" customFormat="false" ht="12.8" hidden="false" customHeight="false" outlineLevel="0" collapsed="false">
      <c r="G1707" s="3" t="n">
        <v>45117</v>
      </c>
      <c r="H1707" s="26" t="s">
        <v>10</v>
      </c>
      <c r="I1707" s="5" t="n">
        <v>-44</v>
      </c>
      <c r="J1707" s="54" t="s">
        <v>147</v>
      </c>
      <c r="K1707" s="0"/>
      <c r="L1707" s="5"/>
      <c r="U1707" s="0"/>
      <c r="V1707" s="0"/>
      <c r="W1707" s="0"/>
      <c r="X1707" s="0"/>
      <c r="Y1707" s="0"/>
    </row>
    <row r="1708" customFormat="false" ht="12.8" hidden="false" customHeight="false" outlineLevel="0" collapsed="false">
      <c r="G1708" s="3" t="n">
        <v>45117</v>
      </c>
      <c r="H1708" s="32" t="s">
        <v>15</v>
      </c>
      <c r="I1708" s="5" t="n">
        <v>44</v>
      </c>
      <c r="J1708" s="54" t="s">
        <v>147</v>
      </c>
      <c r="K1708" s="0"/>
      <c r="L1708" s="5"/>
      <c r="U1708" s="0"/>
      <c r="V1708" s="0"/>
      <c r="W1708" s="0"/>
      <c r="X1708" s="0"/>
      <c r="Y1708" s="0"/>
    </row>
    <row r="1709" customFormat="false" ht="12.8" hidden="false" customHeight="false" outlineLevel="0" collapsed="false">
      <c r="G1709" s="3" t="n">
        <v>45118</v>
      </c>
      <c r="H1709" s="32" t="s">
        <v>15</v>
      </c>
      <c r="I1709" s="5" t="n">
        <v>-42</v>
      </c>
      <c r="J1709" s="54" t="s">
        <v>115</v>
      </c>
      <c r="K1709" s="0"/>
      <c r="L1709" s="5"/>
      <c r="U1709" s="0"/>
      <c r="V1709" s="0"/>
      <c r="W1709" s="0"/>
      <c r="X1709" s="0"/>
      <c r="Y1709" s="0"/>
    </row>
    <row r="1710" customFormat="false" ht="12.8" hidden="false" customHeight="false" outlineLevel="0" collapsed="false">
      <c r="G1710" s="3" t="n">
        <v>45118</v>
      </c>
      <c r="H1710" s="26" t="s">
        <v>10</v>
      </c>
      <c r="I1710" s="5" t="n">
        <v>-27</v>
      </c>
      <c r="J1710" s="55" t="s">
        <v>148</v>
      </c>
      <c r="K1710" s="0"/>
      <c r="L1710" s="5"/>
      <c r="U1710" s="0"/>
      <c r="V1710" s="0"/>
      <c r="W1710" s="0"/>
      <c r="X1710" s="0"/>
      <c r="Y1710" s="0"/>
    </row>
    <row r="1711" customFormat="false" ht="12.8" hidden="false" customHeight="false" outlineLevel="0" collapsed="false">
      <c r="G1711" s="3" t="n">
        <v>45118</v>
      </c>
      <c r="H1711" s="32" t="s">
        <v>15</v>
      </c>
      <c r="I1711" s="5" t="n">
        <v>27</v>
      </c>
      <c r="J1711" s="55" t="s">
        <v>148</v>
      </c>
      <c r="K1711" s="0"/>
      <c r="L1711" s="5"/>
      <c r="U1711" s="0"/>
      <c r="V1711" s="0"/>
      <c r="W1711" s="0"/>
      <c r="X1711" s="0"/>
      <c r="Y1711" s="0"/>
    </row>
    <row r="1712" customFormat="false" ht="12.8" hidden="false" customHeight="false" outlineLevel="0" collapsed="false">
      <c r="G1712" s="3" t="n">
        <v>45118</v>
      </c>
      <c r="H1712" s="32" t="s">
        <v>15</v>
      </c>
      <c r="I1712" s="5" t="n">
        <v>-26</v>
      </c>
      <c r="J1712" s="54" t="s">
        <v>37</v>
      </c>
      <c r="K1712" s="0"/>
      <c r="L1712" s="5"/>
      <c r="U1712" s="0"/>
      <c r="V1712" s="0"/>
      <c r="W1712" s="0"/>
      <c r="X1712" s="0"/>
      <c r="Y1712" s="0"/>
    </row>
    <row r="1713" customFormat="false" ht="12.8" hidden="false" customHeight="false" outlineLevel="0" collapsed="false">
      <c r="G1713" s="3" t="n">
        <v>45118</v>
      </c>
      <c r="H1713" s="26" t="s">
        <v>10</v>
      </c>
      <c r="I1713" s="5" t="n">
        <v>-41</v>
      </c>
      <c r="J1713" s="54" t="s">
        <v>147</v>
      </c>
      <c r="K1713" s="0"/>
      <c r="L1713" s="5"/>
      <c r="U1713" s="0"/>
      <c r="V1713" s="0"/>
      <c r="W1713" s="0"/>
      <c r="X1713" s="0"/>
      <c r="Y1713" s="0"/>
    </row>
    <row r="1714" customFormat="false" ht="12.8" hidden="false" customHeight="false" outlineLevel="0" collapsed="false">
      <c r="G1714" s="3" t="n">
        <v>45118</v>
      </c>
      <c r="H1714" s="32" t="s">
        <v>15</v>
      </c>
      <c r="I1714" s="5" t="n">
        <v>41</v>
      </c>
      <c r="J1714" s="54" t="s">
        <v>147</v>
      </c>
      <c r="K1714" s="0"/>
      <c r="L1714" s="5"/>
      <c r="U1714" s="0"/>
      <c r="V1714" s="0"/>
      <c r="W1714" s="0"/>
      <c r="X1714" s="0"/>
      <c r="Y1714" s="0"/>
    </row>
    <row r="1715" customFormat="false" ht="12.8" hidden="false" customHeight="false" outlineLevel="0" collapsed="false">
      <c r="G1715" s="3" t="n">
        <v>45118</v>
      </c>
      <c r="H1715" s="32" t="s">
        <v>15</v>
      </c>
      <c r="I1715" s="5" t="n">
        <v>-0.89</v>
      </c>
      <c r="J1715" s="0" t="s">
        <v>149</v>
      </c>
      <c r="K1715" s="0"/>
      <c r="L1715" s="0"/>
      <c r="U1715" s="0"/>
      <c r="V1715" s="0"/>
      <c r="W1715" s="0"/>
      <c r="X1715" s="0"/>
      <c r="Y1715" s="0"/>
    </row>
    <row r="1716" customFormat="false" ht="12.8" hidden="false" customHeight="false" outlineLevel="0" collapsed="false">
      <c r="G1716" s="3" t="n">
        <v>45118</v>
      </c>
      <c r="H1716" s="26" t="s">
        <v>10</v>
      </c>
      <c r="I1716" s="5" t="n">
        <v>0.89</v>
      </c>
      <c r="J1716" s="0" t="s">
        <v>149</v>
      </c>
      <c r="K1716" s="0"/>
      <c r="L1716" s="0"/>
      <c r="U1716" s="0"/>
      <c r="V1716" s="0"/>
      <c r="W1716" s="0"/>
      <c r="X1716" s="0"/>
      <c r="Y1716" s="0"/>
    </row>
    <row r="1717" customFormat="false" ht="12.8" hidden="false" customHeight="false" outlineLevel="0" collapsed="false">
      <c r="G1717" s="3" t="n">
        <v>45119</v>
      </c>
      <c r="H1717" s="32" t="s">
        <v>15</v>
      </c>
      <c r="I1717" s="5" t="n">
        <v>-42</v>
      </c>
      <c r="J1717" s="54" t="s">
        <v>115</v>
      </c>
      <c r="K1717" s="0"/>
      <c r="L1717" s="0"/>
      <c r="U1717" s="0"/>
      <c r="V1717" s="0"/>
      <c r="W1717" s="0"/>
      <c r="X1717" s="0"/>
      <c r="Y1717" s="0"/>
    </row>
    <row r="1718" customFormat="false" ht="12.8" hidden="false" customHeight="false" outlineLevel="0" collapsed="false">
      <c r="G1718" s="3" t="n">
        <v>45119</v>
      </c>
      <c r="H1718" s="26" t="s">
        <v>10</v>
      </c>
      <c r="I1718" s="5" t="n">
        <v>-27</v>
      </c>
      <c r="J1718" s="55" t="s">
        <v>148</v>
      </c>
      <c r="K1718" s="0"/>
      <c r="L1718" s="0"/>
      <c r="U1718" s="0"/>
      <c r="V1718" s="0"/>
      <c r="W1718" s="0"/>
      <c r="X1718" s="0"/>
      <c r="Y1718" s="0"/>
    </row>
    <row r="1719" customFormat="false" ht="12.8" hidden="false" customHeight="false" outlineLevel="0" collapsed="false">
      <c r="G1719" s="3" t="n">
        <v>45119</v>
      </c>
      <c r="H1719" s="32" t="s">
        <v>15</v>
      </c>
      <c r="I1719" s="5" t="n">
        <v>27</v>
      </c>
      <c r="J1719" s="55" t="s">
        <v>148</v>
      </c>
      <c r="K1719" s="0"/>
      <c r="L1719" s="0"/>
      <c r="U1719" s="0"/>
      <c r="V1719" s="0"/>
      <c r="W1719" s="0"/>
      <c r="X1719" s="0"/>
      <c r="Y1719" s="0"/>
    </row>
    <row r="1720" customFormat="false" ht="12.8" hidden="false" customHeight="false" outlineLevel="0" collapsed="false">
      <c r="G1720" s="3" t="n">
        <v>45119</v>
      </c>
      <c r="H1720" s="32" t="s">
        <v>15</v>
      </c>
      <c r="I1720" s="5" t="n">
        <v>-20.52</v>
      </c>
      <c r="J1720" s="54" t="s">
        <v>37</v>
      </c>
      <c r="K1720" s="0"/>
      <c r="L1720" s="0"/>
      <c r="U1720" s="0"/>
      <c r="V1720" s="0"/>
      <c r="W1720" s="0"/>
      <c r="X1720" s="0"/>
      <c r="Y1720" s="0"/>
    </row>
    <row r="1721" customFormat="false" ht="12.8" hidden="false" customHeight="false" outlineLevel="0" collapsed="false">
      <c r="G1721" s="3" t="n">
        <v>45119</v>
      </c>
      <c r="H1721" s="26" t="s">
        <v>10</v>
      </c>
      <c r="I1721" s="5" t="n">
        <v>-36</v>
      </c>
      <c r="J1721" s="54" t="s">
        <v>147</v>
      </c>
      <c r="K1721" s="0"/>
      <c r="L1721" s="0"/>
      <c r="U1721" s="0"/>
      <c r="V1721" s="0"/>
      <c r="W1721" s="0"/>
      <c r="X1721" s="0"/>
      <c r="Y1721" s="0"/>
    </row>
    <row r="1722" customFormat="false" ht="12.8" hidden="false" customHeight="false" outlineLevel="0" collapsed="false">
      <c r="G1722" s="3" t="n">
        <v>45119</v>
      </c>
      <c r="H1722" s="32" t="s">
        <v>15</v>
      </c>
      <c r="I1722" s="5" t="n">
        <v>36</v>
      </c>
      <c r="J1722" s="54" t="s">
        <v>147</v>
      </c>
      <c r="K1722" s="0"/>
      <c r="L1722" s="0"/>
      <c r="U1722" s="0"/>
      <c r="V1722" s="0"/>
      <c r="W1722" s="0"/>
      <c r="X1722" s="0"/>
      <c r="Y1722" s="0"/>
    </row>
    <row r="1723" customFormat="false" ht="12.8" hidden="false" customHeight="false" outlineLevel="0" collapsed="false">
      <c r="G1723" s="3" t="n">
        <v>45120</v>
      </c>
      <c r="H1723" s="32" t="s">
        <v>15</v>
      </c>
      <c r="I1723" s="5" t="n">
        <v>-42</v>
      </c>
      <c r="J1723" s="54" t="s">
        <v>115</v>
      </c>
      <c r="K1723" s="0"/>
      <c r="L1723" s="0"/>
      <c r="U1723" s="0"/>
      <c r="V1723" s="0"/>
      <c r="W1723" s="0"/>
      <c r="X1723" s="0"/>
      <c r="Y1723" s="0"/>
    </row>
    <row r="1724" customFormat="false" ht="12.8" hidden="false" customHeight="false" outlineLevel="0" collapsed="false">
      <c r="G1724" s="3" t="n">
        <v>45120</v>
      </c>
      <c r="H1724" s="26" t="s">
        <v>10</v>
      </c>
      <c r="I1724" s="5" t="n">
        <v>-27</v>
      </c>
      <c r="J1724" s="55" t="s">
        <v>148</v>
      </c>
      <c r="K1724" s="0"/>
      <c r="L1724" s="0"/>
      <c r="U1724" s="0"/>
      <c r="V1724" s="0"/>
      <c r="W1724" s="0"/>
      <c r="X1724" s="0"/>
      <c r="Y1724" s="0"/>
    </row>
    <row r="1725" customFormat="false" ht="12.8" hidden="false" customHeight="false" outlineLevel="0" collapsed="false">
      <c r="G1725" s="3" t="n">
        <v>45120</v>
      </c>
      <c r="H1725" s="32" t="s">
        <v>15</v>
      </c>
      <c r="I1725" s="5" t="n">
        <v>27</v>
      </c>
      <c r="J1725" s="55" t="s">
        <v>148</v>
      </c>
      <c r="K1725" s="0"/>
      <c r="L1725" s="0"/>
      <c r="U1725" s="0"/>
      <c r="V1725" s="0"/>
      <c r="W1725" s="0"/>
      <c r="X1725" s="0"/>
      <c r="Y1725" s="0"/>
    </row>
    <row r="1726" customFormat="false" ht="12.8" hidden="false" customHeight="false" outlineLevel="0" collapsed="false">
      <c r="G1726" s="3" t="n">
        <v>45120</v>
      </c>
      <c r="H1726" s="32" t="s">
        <v>15</v>
      </c>
      <c r="I1726" s="5" t="n">
        <v>-25.72</v>
      </c>
      <c r="J1726" s="54" t="s">
        <v>37</v>
      </c>
      <c r="K1726" s="0"/>
      <c r="L1726" s="0"/>
      <c r="U1726" s="0"/>
      <c r="V1726" s="0"/>
      <c r="W1726" s="0"/>
      <c r="X1726" s="0"/>
      <c r="Y1726" s="0"/>
    </row>
    <row r="1727" customFormat="false" ht="12.8" hidden="false" customHeight="false" outlineLevel="0" collapsed="false">
      <c r="G1727" s="3" t="n">
        <v>45120</v>
      </c>
      <c r="H1727" s="26" t="s">
        <v>10</v>
      </c>
      <c r="I1727" s="5" t="n">
        <v>-41</v>
      </c>
      <c r="J1727" s="54" t="s">
        <v>147</v>
      </c>
      <c r="K1727" s="0"/>
      <c r="L1727" s="0"/>
      <c r="U1727" s="0"/>
      <c r="V1727" s="0"/>
      <c r="W1727" s="0"/>
      <c r="X1727" s="0"/>
      <c r="Y1727" s="0"/>
    </row>
    <row r="1728" customFormat="false" ht="12.8" hidden="false" customHeight="false" outlineLevel="0" collapsed="false">
      <c r="G1728" s="3" t="n">
        <v>45120</v>
      </c>
      <c r="H1728" s="32" t="s">
        <v>15</v>
      </c>
      <c r="I1728" s="5" t="n">
        <v>41</v>
      </c>
      <c r="J1728" s="54" t="s">
        <v>147</v>
      </c>
      <c r="K1728" s="0"/>
      <c r="L1728" s="0"/>
      <c r="U1728" s="0"/>
      <c r="V1728" s="0"/>
      <c r="W1728" s="0"/>
      <c r="X1728" s="0"/>
      <c r="Y1728" s="0"/>
    </row>
    <row r="1729" customFormat="false" ht="12.8" hidden="false" customHeight="false" outlineLevel="0" collapsed="false">
      <c r="G1729" s="3" t="n">
        <v>45121</v>
      </c>
      <c r="H1729" s="32" t="s">
        <v>15</v>
      </c>
      <c r="I1729" s="5" t="n">
        <v>-42</v>
      </c>
      <c r="J1729" s="54" t="s">
        <v>115</v>
      </c>
      <c r="K1729" s="0"/>
      <c r="L1729" s="0"/>
      <c r="U1729" s="0"/>
      <c r="V1729" s="0"/>
      <c r="W1729" s="0"/>
      <c r="X1729" s="0"/>
      <c r="Y1729" s="0"/>
    </row>
    <row r="1730" customFormat="false" ht="12.8" hidden="false" customHeight="false" outlineLevel="0" collapsed="false">
      <c r="G1730" s="3" t="n">
        <v>45121</v>
      </c>
      <c r="H1730" s="26" t="s">
        <v>10</v>
      </c>
      <c r="I1730" s="5" t="n">
        <v>-27</v>
      </c>
      <c r="J1730" s="55" t="s">
        <v>148</v>
      </c>
      <c r="K1730" s="0"/>
      <c r="L1730" s="0"/>
      <c r="U1730" s="0"/>
      <c r="V1730" s="0"/>
      <c r="W1730" s="0"/>
      <c r="X1730" s="0"/>
      <c r="Y1730" s="0"/>
    </row>
    <row r="1731" customFormat="false" ht="12.8" hidden="false" customHeight="false" outlineLevel="0" collapsed="false">
      <c r="G1731" s="3" t="n">
        <v>45121</v>
      </c>
      <c r="H1731" s="32" t="s">
        <v>15</v>
      </c>
      <c r="I1731" s="5" t="n">
        <v>27</v>
      </c>
      <c r="J1731" s="55" t="s">
        <v>148</v>
      </c>
      <c r="K1731" s="0"/>
      <c r="L1731" s="0"/>
      <c r="U1731" s="0"/>
      <c r="V1731" s="0"/>
      <c r="W1731" s="0"/>
      <c r="X1731" s="0"/>
      <c r="Y1731" s="0"/>
    </row>
    <row r="1732" customFormat="false" ht="12.8" hidden="false" customHeight="false" outlineLevel="0" collapsed="false">
      <c r="G1732" s="3" t="n">
        <v>45121</v>
      </c>
      <c r="H1732" s="32" t="s">
        <v>15</v>
      </c>
      <c r="I1732" s="5" t="n">
        <v>-15.34</v>
      </c>
      <c r="J1732" s="54" t="s">
        <v>37</v>
      </c>
      <c r="K1732" s="0"/>
      <c r="L1732" s="0"/>
      <c r="U1732" s="0"/>
      <c r="V1732" s="0"/>
      <c r="W1732" s="0"/>
      <c r="X1732" s="0"/>
      <c r="Y1732" s="0"/>
    </row>
    <row r="1733" customFormat="false" ht="12.8" hidden="false" customHeight="false" outlineLevel="0" collapsed="false">
      <c r="G1733" s="3" t="n">
        <v>45121</v>
      </c>
      <c r="H1733" s="26" t="s">
        <v>10</v>
      </c>
      <c r="I1733" s="5" t="n">
        <v>-29.58</v>
      </c>
      <c r="J1733" s="54" t="s">
        <v>147</v>
      </c>
      <c r="K1733" s="55"/>
      <c r="U1733" s="0"/>
      <c r="V1733" s="0"/>
      <c r="W1733" s="0"/>
      <c r="X1733" s="0"/>
      <c r="Y1733" s="0"/>
    </row>
    <row r="1734" customFormat="false" ht="12.8" hidden="false" customHeight="false" outlineLevel="0" collapsed="false">
      <c r="G1734" s="3" t="n">
        <v>45121</v>
      </c>
      <c r="H1734" s="32" t="s">
        <v>15</v>
      </c>
      <c r="I1734" s="5" t="n">
        <v>29.58</v>
      </c>
      <c r="J1734" s="54" t="s">
        <v>147</v>
      </c>
      <c r="K1734" s="0"/>
      <c r="L1734" s="0"/>
      <c r="U1734" s="0"/>
      <c r="V1734" s="0"/>
      <c r="W1734" s="0"/>
      <c r="X1734" s="0"/>
      <c r="Y1734" s="0"/>
    </row>
    <row r="1735" customFormat="false" ht="12.8" hidden="false" customHeight="false" outlineLevel="0" collapsed="false">
      <c r="G1735" s="3" t="n">
        <v>45121</v>
      </c>
      <c r="H1735" s="32" t="s">
        <v>15</v>
      </c>
      <c r="I1735" s="5" t="n">
        <v>-44.9</v>
      </c>
      <c r="J1735" s="0" t="s">
        <v>104</v>
      </c>
      <c r="K1735" s="0"/>
      <c r="L1735" s="0"/>
      <c r="U1735" s="0"/>
      <c r="V1735" s="0"/>
      <c r="W1735" s="0"/>
      <c r="X1735" s="0"/>
      <c r="Y1735" s="0"/>
    </row>
    <row r="1736" customFormat="false" ht="12.8" hidden="false" customHeight="false" outlineLevel="0" collapsed="false">
      <c r="G1736" s="3" t="n">
        <v>45121</v>
      </c>
      <c r="H1736" s="26" t="s">
        <v>10</v>
      </c>
      <c r="I1736" s="5" t="n">
        <v>44.9</v>
      </c>
      <c r="J1736" s="0" t="s">
        <v>104</v>
      </c>
      <c r="K1736" s="0"/>
      <c r="L1736" s="0"/>
      <c r="U1736" s="0"/>
      <c r="V1736" s="0"/>
      <c r="W1736" s="0"/>
      <c r="X1736" s="0"/>
      <c r="Y1736" s="0"/>
    </row>
    <row r="1737" customFormat="false" ht="12.8" hidden="false" customHeight="false" outlineLevel="0" collapsed="false">
      <c r="G1737" s="3" t="n">
        <v>45121</v>
      </c>
      <c r="H1737" s="43" t="s">
        <v>23</v>
      </c>
      <c r="I1737" s="5" t="n">
        <f aca="false">1898</f>
        <v>1898</v>
      </c>
      <c r="J1737" s="10" t="s">
        <v>42</v>
      </c>
      <c r="K1737" s="0"/>
      <c r="L1737" s="0"/>
      <c r="U1737" s="0"/>
      <c r="V1737" s="0"/>
      <c r="W1737" s="0"/>
      <c r="X1737" s="0"/>
      <c r="Y1737" s="0"/>
    </row>
    <row r="1738" customFormat="false" ht="12.8" hidden="false" customHeight="false" outlineLevel="0" collapsed="false">
      <c r="G1738" s="3" t="n">
        <v>45121</v>
      </c>
      <c r="H1738" s="43" t="s">
        <v>23</v>
      </c>
      <c r="I1738" s="5" t="n">
        <v>-5</v>
      </c>
      <c r="J1738" s="10" t="s">
        <v>43</v>
      </c>
      <c r="K1738" s="0"/>
      <c r="L1738" s="0"/>
      <c r="U1738" s="0"/>
      <c r="V1738" s="0"/>
      <c r="W1738" s="0"/>
      <c r="X1738" s="0"/>
      <c r="Y1738" s="0"/>
    </row>
    <row r="1739" customFormat="false" ht="12.8" hidden="false" customHeight="false" outlineLevel="0" collapsed="false">
      <c r="G1739" s="3" t="n">
        <v>45121</v>
      </c>
      <c r="H1739" s="43" t="s">
        <v>23</v>
      </c>
      <c r="I1739" s="5" t="n">
        <f aca="false">419+180</f>
        <v>599</v>
      </c>
      <c r="J1739" s="10" t="s">
        <v>42</v>
      </c>
      <c r="K1739" s="0"/>
      <c r="L1739" s="0"/>
      <c r="U1739" s="0"/>
      <c r="V1739" s="0"/>
      <c r="W1739" s="0"/>
      <c r="X1739" s="0"/>
      <c r="Y1739" s="0"/>
    </row>
    <row r="1740" customFormat="false" ht="12.8" hidden="false" customHeight="false" outlineLevel="0" collapsed="false">
      <c r="G1740" s="3" t="n">
        <v>45122</v>
      </c>
      <c r="H1740" s="43" t="s">
        <v>23</v>
      </c>
      <c r="I1740" s="5" t="n">
        <v>-86.74</v>
      </c>
      <c r="J1740" s="10" t="s">
        <v>37</v>
      </c>
      <c r="K1740" s="0"/>
      <c r="L1740" s="0"/>
      <c r="U1740" s="0"/>
      <c r="V1740" s="0"/>
      <c r="W1740" s="0"/>
      <c r="X1740" s="0"/>
      <c r="Y1740" s="0"/>
    </row>
    <row r="1741" customFormat="false" ht="12.8" hidden="false" customHeight="false" outlineLevel="0" collapsed="false">
      <c r="G1741" s="3" t="n">
        <v>45122</v>
      </c>
      <c r="H1741" s="43" t="s">
        <v>23</v>
      </c>
      <c r="I1741" s="5" t="n">
        <v>-27</v>
      </c>
      <c r="J1741" s="10" t="s">
        <v>37</v>
      </c>
      <c r="K1741" s="0"/>
      <c r="L1741" s="0"/>
      <c r="U1741" s="0"/>
      <c r="V1741" s="0"/>
      <c r="W1741" s="0"/>
      <c r="X1741" s="0"/>
      <c r="Y1741" s="0"/>
    </row>
    <row r="1742" customFormat="false" ht="12.8" hidden="false" customHeight="false" outlineLevel="0" collapsed="false">
      <c r="G1742" s="3" t="n">
        <v>45123</v>
      </c>
      <c r="H1742" s="43" t="s">
        <v>23</v>
      </c>
      <c r="I1742" s="5" t="n">
        <v>0</v>
      </c>
      <c r="J1742" s="10" t="s">
        <v>37</v>
      </c>
      <c r="K1742" s="0" t="s">
        <v>150</v>
      </c>
      <c r="L1742" s="0"/>
      <c r="U1742" s="0"/>
      <c r="V1742" s="0"/>
      <c r="W1742" s="0"/>
      <c r="X1742" s="0"/>
      <c r="Y1742" s="0"/>
    </row>
    <row r="1743" customFormat="false" ht="12.8" hidden="false" customHeight="false" outlineLevel="0" collapsed="false">
      <c r="G1743" s="3" t="n">
        <v>45124</v>
      </c>
      <c r="H1743" s="43" t="s">
        <v>23</v>
      </c>
      <c r="I1743" s="5" t="n">
        <v>-18</v>
      </c>
      <c r="J1743" s="10" t="s">
        <v>37</v>
      </c>
      <c r="K1743" s="0"/>
      <c r="L1743" s="0"/>
      <c r="U1743" s="0"/>
      <c r="V1743" s="0"/>
      <c r="W1743" s="0"/>
      <c r="X1743" s="0"/>
      <c r="Y1743" s="0"/>
    </row>
    <row r="1744" customFormat="false" ht="12.8" hidden="false" customHeight="false" outlineLevel="0" collapsed="false">
      <c r="G1744" s="3" t="n">
        <v>45124</v>
      </c>
      <c r="H1744" s="43" t="s">
        <v>23</v>
      </c>
      <c r="I1744" s="5" t="n">
        <v>-690</v>
      </c>
      <c r="J1744" s="0" t="s">
        <v>44</v>
      </c>
      <c r="K1744" s="0"/>
      <c r="L1744" s="0"/>
      <c r="U1744" s="0"/>
      <c r="V1744" s="0"/>
      <c r="W1744" s="0"/>
      <c r="X1744" s="0"/>
      <c r="Y1744" s="0"/>
    </row>
    <row r="1745" customFormat="false" ht="12.8" hidden="false" customHeight="false" outlineLevel="0" collapsed="false">
      <c r="G1745" s="3" t="n">
        <v>45125</v>
      </c>
      <c r="H1745" s="43" t="s">
        <v>23</v>
      </c>
      <c r="I1745" s="5" t="n">
        <v>-31.63</v>
      </c>
      <c r="J1745" s="10" t="s">
        <v>37</v>
      </c>
      <c r="K1745" s="0"/>
      <c r="L1745" s="0"/>
      <c r="U1745" s="0"/>
      <c r="V1745" s="0"/>
      <c r="W1745" s="0"/>
      <c r="X1745" s="0"/>
      <c r="Y1745" s="0"/>
    </row>
    <row r="1746" customFormat="false" ht="12.8" hidden="false" customHeight="false" outlineLevel="0" collapsed="false">
      <c r="G1746" s="3" t="n">
        <v>45125</v>
      </c>
      <c r="H1746" s="43" t="s">
        <v>23</v>
      </c>
      <c r="I1746" s="5" t="n">
        <v>-27</v>
      </c>
      <c r="J1746" s="10" t="s">
        <v>37</v>
      </c>
      <c r="K1746" s="0"/>
      <c r="L1746" s="0"/>
      <c r="U1746" s="0"/>
      <c r="V1746" s="0"/>
      <c r="W1746" s="0"/>
      <c r="X1746" s="0"/>
      <c r="Y1746" s="0"/>
    </row>
    <row r="1747" customFormat="false" ht="12.8" hidden="false" customHeight="false" outlineLevel="0" collapsed="false">
      <c r="G1747" s="3" t="n">
        <v>45125</v>
      </c>
      <c r="H1747" s="43" t="s">
        <v>23</v>
      </c>
      <c r="I1747" s="5" t="n">
        <v>-14.99</v>
      </c>
      <c r="J1747" s="0" t="s">
        <v>151</v>
      </c>
      <c r="K1747" s="0"/>
      <c r="L1747" s="0"/>
      <c r="U1747" s="0"/>
      <c r="V1747" s="0"/>
      <c r="W1747" s="0"/>
      <c r="X1747" s="0"/>
      <c r="Y1747" s="0"/>
    </row>
    <row r="1748" customFormat="false" ht="12.8" hidden="false" customHeight="false" outlineLevel="0" collapsed="false">
      <c r="G1748" s="3" t="n">
        <v>45126</v>
      </c>
      <c r="H1748" s="43" t="s">
        <v>23</v>
      </c>
      <c r="I1748" s="5" t="n">
        <v>-56.84</v>
      </c>
      <c r="J1748" s="10" t="s">
        <v>37</v>
      </c>
      <c r="K1748" s="0"/>
      <c r="L1748" s="0"/>
      <c r="U1748" s="0"/>
      <c r="V1748" s="0"/>
      <c r="W1748" s="0"/>
      <c r="X1748" s="0"/>
      <c r="Y1748" s="0"/>
    </row>
    <row r="1749" customFormat="false" ht="12.8" hidden="false" customHeight="false" outlineLevel="0" collapsed="false">
      <c r="G1749" s="3" t="n">
        <v>45126</v>
      </c>
      <c r="H1749" s="43" t="s">
        <v>23</v>
      </c>
      <c r="I1749" s="5" t="n">
        <v>-27</v>
      </c>
      <c r="J1749" s="10" t="s">
        <v>37</v>
      </c>
      <c r="K1749" s="0"/>
      <c r="L1749" s="0"/>
      <c r="U1749" s="0"/>
      <c r="V1749" s="0"/>
      <c r="W1749" s="0"/>
      <c r="X1749" s="0"/>
      <c r="Y1749" s="0"/>
    </row>
    <row r="1750" customFormat="false" ht="12.8" hidden="false" customHeight="false" outlineLevel="0" collapsed="false">
      <c r="G1750" s="3" t="n">
        <v>45127</v>
      </c>
      <c r="H1750" s="43" t="s">
        <v>23</v>
      </c>
      <c r="I1750" s="5" t="n">
        <v>-13</v>
      </c>
      <c r="J1750" s="10" t="s">
        <v>152</v>
      </c>
      <c r="K1750" s="0"/>
      <c r="L1750" s="0"/>
      <c r="U1750" s="0"/>
      <c r="V1750" s="0"/>
      <c r="W1750" s="0"/>
      <c r="X1750" s="0"/>
      <c r="Y1750" s="0"/>
    </row>
    <row r="1751" customFormat="false" ht="12.8" hidden="false" customHeight="false" outlineLevel="0" collapsed="false">
      <c r="G1751" s="3" t="n">
        <v>45127</v>
      </c>
      <c r="H1751" s="43" t="s">
        <v>23</v>
      </c>
      <c r="I1751" s="5" t="n">
        <v>-39.99</v>
      </c>
      <c r="J1751" s="10" t="s">
        <v>37</v>
      </c>
      <c r="K1751" s="0"/>
      <c r="L1751" s="0"/>
      <c r="U1751" s="0"/>
      <c r="V1751" s="0"/>
      <c r="W1751" s="0"/>
      <c r="X1751" s="0"/>
      <c r="Y1751" s="0"/>
    </row>
    <row r="1752" customFormat="false" ht="12.8" hidden="false" customHeight="false" outlineLevel="0" collapsed="false">
      <c r="G1752" s="3" t="n">
        <v>45127</v>
      </c>
      <c r="H1752" s="43" t="s">
        <v>23</v>
      </c>
      <c r="I1752" s="5" t="n">
        <v>-27</v>
      </c>
      <c r="J1752" s="10" t="s">
        <v>37</v>
      </c>
      <c r="K1752" s="0"/>
      <c r="L1752" s="0"/>
      <c r="U1752" s="0"/>
      <c r="V1752" s="0"/>
      <c r="W1752" s="0"/>
      <c r="X1752" s="0"/>
      <c r="Y1752" s="0"/>
    </row>
    <row r="1753" customFormat="false" ht="12.8" hidden="false" customHeight="false" outlineLevel="0" collapsed="false">
      <c r="G1753" s="3" t="n">
        <v>45128</v>
      </c>
      <c r="H1753" s="43" t="s">
        <v>23</v>
      </c>
      <c r="I1753" s="5" t="n">
        <v>-334</v>
      </c>
      <c r="J1753" s="10" t="s">
        <v>52</v>
      </c>
      <c r="K1753" s="0"/>
      <c r="L1753" s="0"/>
      <c r="U1753" s="0"/>
      <c r="V1753" s="0"/>
      <c r="W1753" s="0"/>
      <c r="X1753" s="0"/>
      <c r="Y1753" s="0"/>
    </row>
    <row r="1754" customFormat="false" ht="12.8" hidden="false" customHeight="false" outlineLevel="0" collapsed="false">
      <c r="G1754" s="3" t="n">
        <v>45128</v>
      </c>
      <c r="H1754" s="43" t="s">
        <v>23</v>
      </c>
      <c r="I1754" s="5" t="n">
        <v>-184.33</v>
      </c>
      <c r="J1754" s="10" t="s">
        <v>47</v>
      </c>
      <c r="K1754" s="0"/>
      <c r="L1754" s="0"/>
      <c r="U1754" s="0"/>
      <c r="V1754" s="0"/>
      <c r="W1754" s="0"/>
      <c r="X1754" s="0"/>
      <c r="Y1754" s="0"/>
    </row>
    <row r="1755" customFormat="false" ht="12.8" hidden="false" customHeight="false" outlineLevel="0" collapsed="false">
      <c r="G1755" s="3" t="n">
        <v>45128</v>
      </c>
      <c r="H1755" s="43" t="s">
        <v>23</v>
      </c>
      <c r="I1755" s="5" t="n">
        <v>-95.8</v>
      </c>
      <c r="J1755" s="10" t="s">
        <v>53</v>
      </c>
      <c r="K1755" s="0"/>
      <c r="L1755" s="0"/>
      <c r="U1755" s="0"/>
      <c r="V1755" s="0"/>
      <c r="W1755" s="0"/>
      <c r="X1755" s="0"/>
      <c r="Y1755" s="0"/>
    </row>
    <row r="1756" customFormat="false" ht="12.8" hidden="false" customHeight="false" outlineLevel="0" collapsed="false">
      <c r="G1756" s="3" t="n">
        <v>45128</v>
      </c>
      <c r="H1756" s="43" t="s">
        <v>23</v>
      </c>
      <c r="I1756" s="5" t="n">
        <v>0</v>
      </c>
      <c r="J1756" s="10" t="s">
        <v>37</v>
      </c>
      <c r="K1756" s="0" t="s">
        <v>153</v>
      </c>
      <c r="L1756" s="0"/>
      <c r="U1756" s="0"/>
      <c r="V1756" s="0"/>
      <c r="W1756" s="0"/>
      <c r="X1756" s="0"/>
      <c r="Y1756" s="0"/>
    </row>
    <row r="1757" customFormat="false" ht="12.8" hidden="false" customHeight="false" outlineLevel="0" collapsed="false">
      <c r="G1757" s="3" t="n">
        <v>45129</v>
      </c>
      <c r="H1757" s="52" t="s">
        <v>14</v>
      </c>
      <c r="I1757" s="5" t="n">
        <v>1.05</v>
      </c>
      <c r="J1757" s="0" t="s">
        <v>40</v>
      </c>
      <c r="K1757" s="0"/>
      <c r="L1757" s="0"/>
      <c r="U1757" s="0"/>
      <c r="V1757" s="0"/>
      <c r="W1757" s="0"/>
      <c r="X1757" s="0"/>
      <c r="Y1757" s="0"/>
    </row>
    <row r="1758" customFormat="false" ht="12.8" hidden="false" customHeight="false" outlineLevel="0" collapsed="false">
      <c r="G1758" s="3" t="n">
        <v>45129</v>
      </c>
      <c r="H1758" s="52" t="s">
        <v>14</v>
      </c>
      <c r="I1758" s="5" t="n">
        <v>-95</v>
      </c>
      <c r="J1758" s="10" t="s">
        <v>66</v>
      </c>
      <c r="K1758" s="0"/>
      <c r="L1758" s="0"/>
    </row>
    <row r="1759" customFormat="false" ht="12.8" hidden="false" customHeight="false" outlineLevel="0" collapsed="false">
      <c r="G1759" s="3" t="n">
        <v>45129</v>
      </c>
      <c r="H1759" s="48" t="s">
        <v>26</v>
      </c>
      <c r="I1759" s="5" t="n">
        <v>95</v>
      </c>
      <c r="J1759" s="10" t="s">
        <v>66</v>
      </c>
      <c r="K1759" s="0"/>
      <c r="L1759" s="0"/>
    </row>
    <row r="1760" customFormat="false" ht="12.8" hidden="false" customHeight="false" outlineLevel="0" collapsed="false">
      <c r="G1760" s="3" t="n">
        <v>45129</v>
      </c>
      <c r="H1760" s="48" t="s">
        <v>26</v>
      </c>
      <c r="I1760" s="5" t="n">
        <v>-88.35</v>
      </c>
      <c r="J1760" s="55" t="s">
        <v>37</v>
      </c>
      <c r="K1760" s="0"/>
      <c r="L1760" s="0"/>
    </row>
    <row r="1761" customFormat="false" ht="12.8" hidden="false" customHeight="false" outlineLevel="0" collapsed="false">
      <c r="G1761" s="3" t="n">
        <v>45129</v>
      </c>
      <c r="H1761" s="43" t="s">
        <v>23</v>
      </c>
      <c r="I1761" s="5" t="n">
        <v>-11</v>
      </c>
      <c r="J1761" s="10" t="s">
        <v>37</v>
      </c>
      <c r="K1761" s="0"/>
      <c r="L1761" s="0"/>
    </row>
    <row r="1762" customFormat="false" ht="12.8" hidden="false" customHeight="false" outlineLevel="0" collapsed="false">
      <c r="G1762" s="3" t="n">
        <v>45130</v>
      </c>
      <c r="H1762" s="43" t="s">
        <v>23</v>
      </c>
      <c r="I1762" s="5" t="n">
        <v>-26.49</v>
      </c>
      <c r="J1762" s="10" t="s">
        <v>37</v>
      </c>
      <c r="K1762" s="0"/>
      <c r="L1762" s="0"/>
    </row>
    <row r="1763" customFormat="false" ht="12.8" hidden="false" customHeight="false" outlineLevel="0" collapsed="false">
      <c r="G1763" s="3" t="n">
        <v>45130</v>
      </c>
      <c r="H1763" s="43" t="s">
        <v>23</v>
      </c>
      <c r="I1763" s="5" t="n">
        <v>-27</v>
      </c>
      <c r="J1763" s="10" t="s">
        <v>37</v>
      </c>
      <c r="K1763" s="0"/>
      <c r="L1763" s="0"/>
    </row>
    <row r="1764" customFormat="false" ht="12.8" hidden="false" customHeight="false" outlineLevel="0" collapsed="false">
      <c r="G1764" s="3" t="n">
        <v>45131</v>
      </c>
      <c r="H1764" s="26" t="s">
        <v>10</v>
      </c>
      <c r="I1764" s="5" t="n">
        <v>-150</v>
      </c>
      <c r="J1764" s="54" t="s">
        <v>154</v>
      </c>
      <c r="K1764" s="5"/>
      <c r="L1764" s="0"/>
    </row>
    <row r="1765" customFormat="false" ht="12.8" hidden="false" customHeight="false" outlineLevel="0" collapsed="false">
      <c r="G1765" s="3" t="n">
        <v>45131</v>
      </c>
      <c r="H1765" s="32" t="s">
        <v>15</v>
      </c>
      <c r="I1765" s="5" t="n">
        <v>150</v>
      </c>
      <c r="J1765" s="54" t="s">
        <v>38</v>
      </c>
      <c r="K1765" s="5"/>
      <c r="L1765" s="0"/>
    </row>
    <row r="1766" customFormat="false" ht="12.8" hidden="false" customHeight="false" outlineLevel="0" collapsed="false">
      <c r="G1766" s="3" t="n">
        <v>45131</v>
      </c>
      <c r="H1766" s="43" t="s">
        <v>23</v>
      </c>
      <c r="I1766" s="5" t="n">
        <v>-21</v>
      </c>
      <c r="J1766" s="10" t="s">
        <v>37</v>
      </c>
      <c r="K1766" s="0"/>
      <c r="L1766" s="0"/>
    </row>
    <row r="1767" customFormat="false" ht="12.8" hidden="false" customHeight="false" outlineLevel="0" collapsed="false">
      <c r="G1767" s="3" t="n">
        <v>45131</v>
      </c>
      <c r="H1767" s="43" t="s">
        <v>23</v>
      </c>
      <c r="I1767" s="5" t="n">
        <v>-27</v>
      </c>
      <c r="J1767" s="10" t="s">
        <v>134</v>
      </c>
      <c r="K1767" s="0"/>
      <c r="L1767" s="0"/>
    </row>
    <row r="1768" customFormat="false" ht="12.8" hidden="false" customHeight="false" outlineLevel="0" collapsed="false">
      <c r="G1768" s="3" t="n">
        <v>45132</v>
      </c>
      <c r="H1768" s="32" t="s">
        <v>15</v>
      </c>
      <c r="I1768" s="5" t="n">
        <v>-150</v>
      </c>
      <c r="J1768" s="54" t="s">
        <v>107</v>
      </c>
      <c r="K1768" s="0"/>
      <c r="L1768" s="0"/>
    </row>
    <row r="1769" customFormat="false" ht="12.8" hidden="false" customHeight="false" outlineLevel="0" collapsed="false">
      <c r="G1769" s="3" t="n">
        <v>45132</v>
      </c>
      <c r="H1769" s="43" t="s">
        <v>23</v>
      </c>
      <c r="I1769" s="5" t="n">
        <v>-25.99</v>
      </c>
      <c r="J1769" s="10" t="s">
        <v>37</v>
      </c>
      <c r="K1769" s="5"/>
      <c r="L1769" s="0"/>
    </row>
    <row r="1770" customFormat="false" ht="12.8" hidden="false" customHeight="false" outlineLevel="0" collapsed="false">
      <c r="G1770" s="3" t="n">
        <v>45133</v>
      </c>
      <c r="H1770" s="43" t="s">
        <v>23</v>
      </c>
      <c r="I1770" s="5" t="n">
        <v>-50.01</v>
      </c>
      <c r="J1770" s="10" t="s">
        <v>37</v>
      </c>
      <c r="K1770" s="0"/>
      <c r="L1770" s="0"/>
    </row>
    <row r="1771" customFormat="false" ht="12.8" hidden="false" customHeight="false" outlineLevel="0" collapsed="false">
      <c r="G1771" s="3" t="n">
        <v>45133</v>
      </c>
      <c r="H1771" s="43" t="s">
        <v>23</v>
      </c>
      <c r="I1771" s="5" t="n">
        <v>-11</v>
      </c>
      <c r="J1771" s="10" t="s">
        <v>152</v>
      </c>
      <c r="K1771" s="0"/>
      <c r="L1771" s="0"/>
    </row>
    <row r="1772" customFormat="false" ht="12.8" hidden="false" customHeight="false" outlineLevel="0" collapsed="false">
      <c r="G1772" s="3" t="n">
        <v>45133</v>
      </c>
      <c r="H1772" s="43" t="s">
        <v>23</v>
      </c>
      <c r="I1772" s="5" t="n">
        <v>-73.1</v>
      </c>
      <c r="J1772" s="0" t="s">
        <v>48</v>
      </c>
      <c r="K1772" s="0"/>
      <c r="L1772" s="0"/>
    </row>
    <row r="1773" customFormat="false" ht="12.8" hidden="false" customHeight="false" outlineLevel="0" collapsed="false">
      <c r="G1773" s="3" t="n">
        <v>45134</v>
      </c>
      <c r="H1773" s="52" t="s">
        <v>14</v>
      </c>
      <c r="I1773" s="5" t="n">
        <v>0.3</v>
      </c>
      <c r="J1773" s="0" t="s">
        <v>40</v>
      </c>
      <c r="K1773" s="5"/>
      <c r="L1773" s="0"/>
    </row>
    <row r="1774" customFormat="false" ht="12.8" hidden="false" customHeight="false" outlineLevel="0" collapsed="false">
      <c r="G1774" s="3" t="n">
        <v>45134</v>
      </c>
      <c r="H1774" s="52" t="s">
        <v>14</v>
      </c>
      <c r="I1774" s="5" t="n">
        <v>-54</v>
      </c>
      <c r="J1774" s="10" t="s">
        <v>155</v>
      </c>
      <c r="K1774" s="5"/>
      <c r="L1774" s="0"/>
    </row>
    <row r="1775" customFormat="false" ht="12.8" hidden="false" customHeight="false" outlineLevel="0" collapsed="false">
      <c r="G1775" s="3" t="n">
        <v>45134</v>
      </c>
      <c r="H1775" s="48" t="s">
        <v>26</v>
      </c>
      <c r="I1775" s="5" t="n">
        <v>54</v>
      </c>
      <c r="J1775" s="10" t="s">
        <v>66</v>
      </c>
      <c r="K1775" s="5"/>
      <c r="L1775" s="0"/>
    </row>
    <row r="1776" customFormat="false" ht="12.8" hidden="false" customHeight="false" outlineLevel="0" collapsed="false">
      <c r="G1776" s="3" t="n">
        <v>45134</v>
      </c>
      <c r="H1776" s="43" t="s">
        <v>23</v>
      </c>
      <c r="I1776" s="5" t="n">
        <f aca="false">-25.5-20.82</f>
        <v>-46.32</v>
      </c>
      <c r="J1776" s="10" t="s">
        <v>37</v>
      </c>
      <c r="K1776" s="0"/>
      <c r="L1776" s="0"/>
    </row>
    <row r="1777" customFormat="false" ht="12.8" hidden="false" customHeight="false" outlineLevel="0" collapsed="false">
      <c r="G1777" s="3" t="n">
        <v>45134</v>
      </c>
      <c r="H1777" s="43" t="s">
        <v>23</v>
      </c>
      <c r="I1777" s="5" t="n">
        <v>-27</v>
      </c>
      <c r="J1777" s="10" t="s">
        <v>134</v>
      </c>
      <c r="K1777" s="0"/>
      <c r="L1777" s="0"/>
    </row>
    <row r="1778" customFormat="false" ht="12.8" hidden="false" customHeight="false" outlineLevel="0" collapsed="false">
      <c r="G1778" s="3" t="n">
        <v>45134</v>
      </c>
      <c r="H1778" s="43" t="s">
        <v>23</v>
      </c>
      <c r="I1778" s="5" t="n">
        <v>250</v>
      </c>
      <c r="J1778" s="10" t="s">
        <v>72</v>
      </c>
      <c r="K1778" s="5"/>
      <c r="L1778" s="0"/>
    </row>
    <row r="1779" customFormat="false" ht="12.8" hidden="false" customHeight="false" outlineLevel="0" collapsed="false">
      <c r="G1779" s="3" t="n">
        <v>45134</v>
      </c>
      <c r="H1779" s="43" t="s">
        <v>23</v>
      </c>
      <c r="I1779" s="5" t="n">
        <v>-5</v>
      </c>
      <c r="J1779" s="10" t="s">
        <v>43</v>
      </c>
      <c r="K1779" s="0"/>
      <c r="L1779" s="0"/>
    </row>
    <row r="1780" customFormat="false" ht="12.8" hidden="false" customHeight="false" outlineLevel="0" collapsed="false">
      <c r="G1780" s="3" t="n">
        <v>45135</v>
      </c>
      <c r="H1780" s="48" t="s">
        <v>26</v>
      </c>
      <c r="I1780" s="5" t="n">
        <v>-50</v>
      </c>
      <c r="J1780" s="55" t="s">
        <v>139</v>
      </c>
      <c r="K1780" s="55"/>
      <c r="L1780" s="0"/>
    </row>
    <row r="1781" customFormat="false" ht="12.8" hidden="false" customHeight="false" outlineLevel="0" collapsed="false">
      <c r="G1781" s="3" t="n">
        <v>45135</v>
      </c>
      <c r="H1781" s="52" t="s">
        <v>14</v>
      </c>
      <c r="I1781" s="5" t="n">
        <v>50</v>
      </c>
      <c r="J1781" s="55" t="s">
        <v>139</v>
      </c>
      <c r="K1781" s="5"/>
      <c r="L1781" s="0"/>
    </row>
    <row r="1782" customFormat="false" ht="12.8" hidden="false" customHeight="false" outlineLevel="0" collapsed="false">
      <c r="G1782" s="3" t="n">
        <v>45135</v>
      </c>
      <c r="H1782" s="52" t="s">
        <v>14</v>
      </c>
      <c r="I1782" s="5" t="n">
        <f aca="false">497.51-497.46</f>
        <v>0.0500000000000114</v>
      </c>
      <c r="J1782" s="0" t="s">
        <v>40</v>
      </c>
      <c r="K1782" s="0"/>
      <c r="L1782" s="0"/>
    </row>
    <row r="1783" customFormat="false" ht="12.8" hidden="false" customHeight="false" outlineLevel="0" collapsed="false">
      <c r="G1783" s="3" t="n">
        <v>45135</v>
      </c>
      <c r="H1783" s="43" t="s">
        <v>23</v>
      </c>
      <c r="I1783" s="5" t="n">
        <v>-35.47</v>
      </c>
      <c r="J1783" s="10" t="s">
        <v>37</v>
      </c>
      <c r="K1783" s="0"/>
      <c r="L1783" s="0"/>
    </row>
    <row r="1784" customFormat="false" ht="12.8" hidden="false" customHeight="false" outlineLevel="0" collapsed="false">
      <c r="G1784" s="3" t="n">
        <v>45136</v>
      </c>
      <c r="H1784" s="43" t="s">
        <v>23</v>
      </c>
      <c r="I1784" s="5" t="n">
        <v>-17</v>
      </c>
      <c r="J1784" s="10" t="s">
        <v>37</v>
      </c>
      <c r="K1784" s="0"/>
      <c r="L1784" s="0"/>
    </row>
    <row r="1785" customFormat="false" ht="12.8" hidden="false" customHeight="false" outlineLevel="0" collapsed="false">
      <c r="G1785" s="3" t="n">
        <v>45136</v>
      </c>
      <c r="H1785" s="43" t="s">
        <v>23</v>
      </c>
      <c r="I1785" s="5" t="n">
        <v>-35.29</v>
      </c>
      <c r="J1785" s="10" t="s">
        <v>37</v>
      </c>
      <c r="K1785" s="5"/>
      <c r="L1785" s="0"/>
    </row>
    <row r="1786" customFormat="false" ht="12.8" hidden="false" customHeight="false" outlineLevel="0" collapsed="false">
      <c r="G1786" s="3" t="n">
        <v>45136</v>
      </c>
      <c r="H1786" s="43" t="s">
        <v>23</v>
      </c>
      <c r="I1786" s="5" t="n">
        <v>-43</v>
      </c>
      <c r="J1786" s="10" t="s">
        <v>134</v>
      </c>
      <c r="K1786" s="0"/>
      <c r="L1786" s="0"/>
    </row>
    <row r="1787" customFormat="false" ht="12.8" hidden="false" customHeight="false" outlineLevel="0" collapsed="false">
      <c r="G1787" s="3" t="n">
        <v>45137</v>
      </c>
      <c r="H1787" s="43" t="s">
        <v>23</v>
      </c>
      <c r="I1787" s="5" t="n">
        <v>-5</v>
      </c>
      <c r="J1787" s="10" t="s">
        <v>82</v>
      </c>
      <c r="K1787" s="0"/>
      <c r="L1787" s="0"/>
    </row>
    <row r="1788" customFormat="false" ht="12.8" hidden="false" customHeight="false" outlineLevel="0" collapsed="false">
      <c r="G1788" s="3" t="n">
        <v>45138</v>
      </c>
      <c r="H1788" s="26" t="s">
        <v>10</v>
      </c>
      <c r="I1788" s="5" t="n">
        <v>-194</v>
      </c>
      <c r="J1788" s="54" t="s">
        <v>38</v>
      </c>
      <c r="K1788" s="0"/>
      <c r="L1788" s="0"/>
    </row>
    <row r="1789" customFormat="false" ht="12.8" hidden="false" customHeight="false" outlineLevel="0" collapsed="false">
      <c r="G1789" s="3" t="n">
        <v>45138</v>
      </c>
      <c r="H1789" s="32" t="s">
        <v>15</v>
      </c>
      <c r="I1789" s="5" t="n">
        <v>194</v>
      </c>
      <c r="J1789" s="54" t="s">
        <v>38</v>
      </c>
      <c r="K1789" s="0"/>
      <c r="L1789" s="0"/>
    </row>
    <row r="1790" customFormat="false" ht="12.8" hidden="false" customHeight="false" outlineLevel="0" collapsed="false">
      <c r="G1790" s="3" t="n">
        <v>45138</v>
      </c>
      <c r="H1790" s="32" t="s">
        <v>15</v>
      </c>
      <c r="I1790" s="5" t="n">
        <v>-194</v>
      </c>
      <c r="J1790" s="54" t="s">
        <v>145</v>
      </c>
      <c r="K1790" s="0"/>
      <c r="L1790" s="0"/>
    </row>
    <row r="1791" customFormat="false" ht="12.8" hidden="false" customHeight="false" outlineLevel="0" collapsed="false">
      <c r="G1791" s="3" t="n">
        <v>45138</v>
      </c>
      <c r="H1791" s="48" t="s">
        <v>26</v>
      </c>
      <c r="I1791" s="5" t="n">
        <v>194</v>
      </c>
      <c r="J1791" s="54" t="s">
        <v>145</v>
      </c>
      <c r="K1791" s="0"/>
      <c r="L1791" s="0"/>
    </row>
    <row r="1792" customFormat="false" ht="12.8" hidden="false" customHeight="false" outlineLevel="0" collapsed="false">
      <c r="G1792" s="3" t="n">
        <v>45138</v>
      </c>
      <c r="H1792" s="43" t="s">
        <v>23</v>
      </c>
      <c r="I1792" s="5" t="n">
        <v>-29.98</v>
      </c>
      <c r="J1792" s="10" t="s">
        <v>37</v>
      </c>
      <c r="K1792" s="0"/>
      <c r="L1792" s="0"/>
    </row>
    <row r="1793" customFormat="false" ht="12.8" hidden="false" customHeight="false" outlineLevel="0" collapsed="false">
      <c r="G1793" s="3" t="n">
        <v>45138</v>
      </c>
      <c r="H1793" s="48" t="s">
        <v>26</v>
      </c>
      <c r="I1793" s="5" t="n">
        <v>-194</v>
      </c>
      <c r="J1793" s="54" t="s">
        <v>104</v>
      </c>
      <c r="K1793" s="5"/>
      <c r="L1793" s="0"/>
    </row>
    <row r="1794" customFormat="false" ht="12.8" hidden="false" customHeight="false" outlineLevel="0" collapsed="false">
      <c r="G1794" s="3" t="n">
        <v>45138</v>
      </c>
      <c r="H1794" s="52" t="s">
        <v>14</v>
      </c>
      <c r="I1794" s="5" t="n">
        <v>194</v>
      </c>
      <c r="J1794" s="54" t="s">
        <v>104</v>
      </c>
      <c r="K1794" s="5"/>
      <c r="L1794" s="0"/>
    </row>
    <row r="1795" customFormat="false" ht="12.8" hidden="false" customHeight="false" outlineLevel="0" collapsed="false">
      <c r="G1795" s="3" t="n">
        <v>45138</v>
      </c>
      <c r="H1795" s="52" t="s">
        <v>14</v>
      </c>
      <c r="I1795" s="5" t="n">
        <v>0.18</v>
      </c>
      <c r="J1795" s="0" t="s">
        <v>40</v>
      </c>
      <c r="K1795" s="0"/>
      <c r="L1795" s="0"/>
    </row>
    <row r="1796" customFormat="false" ht="12.8" hidden="false" customHeight="false" outlineLevel="0" collapsed="false">
      <c r="G1796" s="3" t="n">
        <v>45138</v>
      </c>
      <c r="H1796" s="48" t="s">
        <v>26</v>
      </c>
      <c r="I1796" s="5" t="n">
        <v>-10</v>
      </c>
      <c r="J1796" s="55" t="s">
        <v>156</v>
      </c>
      <c r="K1796" s="0"/>
      <c r="L1796" s="0"/>
    </row>
    <row r="1797" customFormat="false" ht="12.8" hidden="false" customHeight="false" outlineLevel="0" collapsed="false">
      <c r="G1797" s="3" t="n">
        <v>45139</v>
      </c>
      <c r="H1797" s="26" t="s">
        <v>10</v>
      </c>
      <c r="I1797" s="5" t="n">
        <f aca="false">0.9-0.22</f>
        <v>0.68</v>
      </c>
      <c r="J1797" s="0" t="s">
        <v>40</v>
      </c>
      <c r="K1797" s="0"/>
      <c r="L1797" s="0"/>
    </row>
    <row r="1798" customFormat="false" ht="12.8" hidden="false" customHeight="false" outlineLevel="0" collapsed="false">
      <c r="G1798" s="3" t="n">
        <v>45139</v>
      </c>
      <c r="H1798" s="43" t="s">
        <v>23</v>
      </c>
      <c r="I1798" s="5" t="n">
        <f aca="false">-38.44-8.98</f>
        <v>-47.42</v>
      </c>
      <c r="J1798" s="10" t="s">
        <v>37</v>
      </c>
      <c r="K1798" s="0"/>
      <c r="L1798" s="0"/>
    </row>
    <row r="1799" customFormat="false" ht="12.8" hidden="false" customHeight="false" outlineLevel="0" collapsed="false">
      <c r="G1799" s="3" t="n">
        <v>45139</v>
      </c>
      <c r="H1799" s="43" t="s">
        <v>23</v>
      </c>
      <c r="I1799" s="5" t="n">
        <v>-62</v>
      </c>
      <c r="J1799" s="10" t="s">
        <v>134</v>
      </c>
      <c r="K1799" s="0"/>
      <c r="L1799" s="0"/>
    </row>
    <row r="1800" customFormat="false" ht="12.8" hidden="false" customHeight="false" outlineLevel="0" collapsed="false">
      <c r="G1800" s="3" t="n">
        <v>45140</v>
      </c>
      <c r="H1800" s="43" t="s">
        <v>23</v>
      </c>
      <c r="I1800" s="5" t="n">
        <v>-45.06</v>
      </c>
      <c r="J1800" s="10" t="s">
        <v>37</v>
      </c>
      <c r="K1800" s="0"/>
      <c r="L1800" s="0"/>
    </row>
    <row r="1801" customFormat="false" ht="12.8" hidden="false" customHeight="false" outlineLevel="0" collapsed="false">
      <c r="G1801" s="3" t="n">
        <v>45141</v>
      </c>
      <c r="H1801" s="43" t="s">
        <v>23</v>
      </c>
      <c r="I1801" s="5" t="n">
        <v>-47.87</v>
      </c>
      <c r="J1801" s="0" t="s">
        <v>37</v>
      </c>
      <c r="K1801" s="0"/>
      <c r="L1801" s="0"/>
    </row>
    <row r="1802" customFormat="false" ht="12.8" hidden="false" customHeight="false" outlineLevel="0" collapsed="false">
      <c r="G1802" s="3" t="n">
        <v>45141</v>
      </c>
      <c r="H1802" s="43" t="s">
        <v>23</v>
      </c>
      <c r="I1802" s="5" t="n">
        <v>-27</v>
      </c>
      <c r="J1802" s="10" t="s">
        <v>134</v>
      </c>
      <c r="K1802" s="0"/>
      <c r="L1802" s="0"/>
    </row>
    <row r="1803" customFormat="false" ht="12.8" hidden="false" customHeight="false" outlineLevel="0" collapsed="false">
      <c r="G1803" s="3" t="n">
        <v>45142</v>
      </c>
      <c r="H1803" s="43" t="s">
        <v>23</v>
      </c>
      <c r="I1803" s="5" t="n">
        <v>-25.49</v>
      </c>
      <c r="J1803" s="10" t="s">
        <v>37</v>
      </c>
      <c r="K1803" s="0"/>
      <c r="L1803" s="0"/>
    </row>
    <row r="1804" customFormat="false" ht="12.8" hidden="false" customHeight="false" outlineLevel="0" collapsed="false">
      <c r="G1804" s="3" t="n">
        <v>45142</v>
      </c>
      <c r="H1804" s="43" t="s">
        <v>23</v>
      </c>
      <c r="I1804" s="5" t="n">
        <v>-21</v>
      </c>
      <c r="J1804" s="10" t="s">
        <v>37</v>
      </c>
      <c r="K1804" s="0"/>
      <c r="L1804" s="0"/>
    </row>
    <row r="1805" customFormat="false" ht="12.8" hidden="false" customHeight="false" outlineLevel="0" collapsed="false">
      <c r="G1805" s="3" t="n">
        <v>45143</v>
      </c>
      <c r="H1805" s="43" t="s">
        <v>23</v>
      </c>
      <c r="I1805" s="5" t="n">
        <v>-42</v>
      </c>
      <c r="J1805" s="10" t="s">
        <v>37</v>
      </c>
      <c r="K1805" s="0"/>
      <c r="L1805" s="0"/>
    </row>
    <row r="1806" customFormat="false" ht="12.8" hidden="false" customHeight="false" outlineLevel="0" collapsed="false">
      <c r="G1806" s="3" t="n">
        <v>45143</v>
      </c>
      <c r="H1806" s="43" t="s">
        <v>23</v>
      </c>
      <c r="I1806" s="5" t="n">
        <v>-41.55</v>
      </c>
      <c r="J1806" s="10" t="s">
        <v>37</v>
      </c>
      <c r="K1806" s="0"/>
      <c r="L1806" s="0"/>
    </row>
    <row r="1807" customFormat="false" ht="12.8" hidden="false" customHeight="false" outlineLevel="0" collapsed="false">
      <c r="G1807" s="3" t="n">
        <v>45143</v>
      </c>
      <c r="H1807" s="52" t="s">
        <v>14</v>
      </c>
      <c r="I1807" s="5" t="n">
        <f aca="false">592.09-591.69</f>
        <v>0.399999999999977</v>
      </c>
      <c r="J1807" s="55" t="s">
        <v>40</v>
      </c>
      <c r="K1807" s="0"/>
      <c r="L1807" s="0"/>
    </row>
    <row r="1808" customFormat="false" ht="12.8" hidden="false" customHeight="false" outlineLevel="0" collapsed="false">
      <c r="G1808" s="3" t="n">
        <v>45143</v>
      </c>
      <c r="H1808" s="52" t="s">
        <v>14</v>
      </c>
      <c r="I1808" s="5" t="n">
        <v>-100</v>
      </c>
      <c r="J1808" s="0" t="s">
        <v>38</v>
      </c>
      <c r="K1808" s="0"/>
      <c r="L1808" s="0"/>
    </row>
    <row r="1809" customFormat="false" ht="12.8" hidden="false" customHeight="false" outlineLevel="0" collapsed="false">
      <c r="G1809" s="3" t="n">
        <v>45143</v>
      </c>
      <c r="H1809" s="48" t="s">
        <v>26</v>
      </c>
      <c r="I1809" s="5" t="n">
        <v>100</v>
      </c>
      <c r="J1809" s="0" t="s">
        <v>38</v>
      </c>
      <c r="K1809" s="0"/>
      <c r="L1809" s="0"/>
    </row>
    <row r="1810" customFormat="false" ht="12.8" hidden="false" customHeight="false" outlineLevel="0" collapsed="false">
      <c r="G1810" s="3" t="n">
        <v>45143</v>
      </c>
      <c r="H1810" s="48" t="s">
        <v>26</v>
      </c>
      <c r="I1810" s="5" t="n">
        <f aca="false">-44.96-5.03</f>
        <v>-49.99</v>
      </c>
      <c r="J1810" s="0" t="s">
        <v>102</v>
      </c>
      <c r="K1810" s="0"/>
      <c r="L1810" s="0"/>
    </row>
    <row r="1811" customFormat="false" ht="12.8" hidden="false" customHeight="false" outlineLevel="0" collapsed="false">
      <c r="G1811" s="3" t="n">
        <v>45143</v>
      </c>
      <c r="H1811" s="52" t="s">
        <v>14</v>
      </c>
      <c r="I1811" s="5" t="n">
        <v>-100</v>
      </c>
      <c r="J1811" s="0" t="s">
        <v>38</v>
      </c>
      <c r="K1811" s="0"/>
      <c r="L1811" s="0"/>
    </row>
    <row r="1812" customFormat="false" ht="12.8" hidden="false" customHeight="false" outlineLevel="0" collapsed="false">
      <c r="G1812" s="3" t="n">
        <v>45143</v>
      </c>
      <c r="H1812" s="48" t="s">
        <v>26</v>
      </c>
      <c r="I1812" s="5" t="n">
        <v>100</v>
      </c>
      <c r="J1812" s="0" t="s">
        <v>38</v>
      </c>
      <c r="K1812" s="0"/>
      <c r="L1812" s="0"/>
    </row>
    <row r="1813" customFormat="false" ht="12.8" hidden="false" customHeight="false" outlineLevel="0" collapsed="false">
      <c r="G1813" s="3" t="n">
        <v>45143</v>
      </c>
      <c r="H1813" s="48" t="s">
        <v>26</v>
      </c>
      <c r="I1813" s="5" t="n">
        <v>-110.17</v>
      </c>
      <c r="J1813" s="0" t="s">
        <v>102</v>
      </c>
      <c r="K1813" s="0"/>
      <c r="L1813" s="0"/>
    </row>
    <row r="1814" customFormat="false" ht="12.8" hidden="false" customHeight="false" outlineLevel="0" collapsed="false">
      <c r="G1814" s="3" t="n">
        <v>45143</v>
      </c>
      <c r="H1814" s="52" t="s">
        <v>14</v>
      </c>
      <c r="I1814" s="5" t="n">
        <v>-110</v>
      </c>
      <c r="J1814" s="0" t="s">
        <v>38</v>
      </c>
      <c r="K1814" s="0"/>
      <c r="L1814" s="0"/>
    </row>
    <row r="1815" customFormat="false" ht="12.8" hidden="false" customHeight="false" outlineLevel="0" collapsed="false">
      <c r="G1815" s="3" t="n">
        <v>45143</v>
      </c>
      <c r="H1815" s="48" t="s">
        <v>26</v>
      </c>
      <c r="I1815" s="5" t="n">
        <v>110</v>
      </c>
      <c r="J1815" s="0" t="s">
        <v>38</v>
      </c>
      <c r="K1815" s="0"/>
      <c r="L1815" s="0"/>
    </row>
    <row r="1816" customFormat="false" ht="12.8" hidden="false" customHeight="false" outlineLevel="0" collapsed="false">
      <c r="G1816" s="3" t="n">
        <v>45143</v>
      </c>
      <c r="H1816" s="48" t="s">
        <v>26</v>
      </c>
      <c r="I1816" s="5" t="n">
        <v>-75.31</v>
      </c>
      <c r="J1816" s="0" t="s">
        <v>102</v>
      </c>
      <c r="K1816" s="0"/>
      <c r="L1816" s="0"/>
    </row>
    <row r="1817" customFormat="false" ht="12.8" hidden="false" customHeight="false" outlineLevel="0" collapsed="false">
      <c r="G1817" s="3" t="n">
        <v>45144</v>
      </c>
      <c r="H1817" s="43" t="s">
        <v>23</v>
      </c>
      <c r="I1817" s="5" t="n">
        <v>-42</v>
      </c>
      <c r="J1817" s="10" t="s">
        <v>37</v>
      </c>
      <c r="K1817" s="0"/>
      <c r="L1817" s="0"/>
    </row>
    <row r="1818" customFormat="false" ht="12.8" hidden="false" customHeight="false" outlineLevel="0" collapsed="false">
      <c r="G1818" s="3" t="n">
        <v>45144</v>
      </c>
      <c r="H1818" s="48" t="s">
        <v>26</v>
      </c>
      <c r="I1818" s="5" t="n">
        <v>-24.63</v>
      </c>
      <c r="J1818" s="10" t="s">
        <v>37</v>
      </c>
      <c r="K1818" s="0"/>
      <c r="L1818" s="0"/>
    </row>
    <row r="1819" customFormat="false" ht="12.8" hidden="false" customHeight="false" outlineLevel="0" collapsed="false">
      <c r="G1819" s="3" t="n">
        <v>45145</v>
      </c>
      <c r="H1819" s="43" t="s">
        <v>23</v>
      </c>
      <c r="I1819" s="5" t="n">
        <v>-53.99</v>
      </c>
      <c r="J1819" s="10" t="s">
        <v>37</v>
      </c>
      <c r="K1819" s="0"/>
      <c r="L1819" s="0"/>
    </row>
    <row r="1820" customFormat="false" ht="12.8" hidden="false" customHeight="false" outlineLevel="0" collapsed="false">
      <c r="G1820" s="3" t="n">
        <v>45145</v>
      </c>
      <c r="H1820" s="48" t="s">
        <v>26</v>
      </c>
      <c r="I1820" s="5" t="n">
        <v>-16.14</v>
      </c>
      <c r="J1820" s="10" t="s">
        <v>37</v>
      </c>
      <c r="K1820" s="0"/>
      <c r="L1820" s="0"/>
    </row>
    <row r="1821" customFormat="false" ht="12.8" hidden="false" customHeight="false" outlineLevel="0" collapsed="false">
      <c r="G1821" s="3" t="n">
        <v>45145</v>
      </c>
      <c r="H1821" s="48" t="s">
        <v>26</v>
      </c>
      <c r="I1821" s="5" t="n">
        <v>-11.7</v>
      </c>
      <c r="J1821" s="0" t="s">
        <v>157</v>
      </c>
      <c r="K1821" s="0"/>
      <c r="L1821" s="0"/>
    </row>
    <row r="1822" customFormat="false" ht="12.8" hidden="false" customHeight="false" outlineLevel="0" collapsed="false">
      <c r="G1822" s="3" t="n">
        <v>45145</v>
      </c>
      <c r="H1822" s="52" t="s">
        <v>14</v>
      </c>
      <c r="I1822" s="5" t="n">
        <v>0.08</v>
      </c>
      <c r="J1822" s="0" t="s">
        <v>40</v>
      </c>
      <c r="K1822" s="0"/>
      <c r="L1822" s="0"/>
    </row>
    <row r="1823" customFormat="false" ht="12.8" hidden="false" customHeight="false" outlineLevel="0" collapsed="false">
      <c r="G1823" s="3" t="n">
        <v>45145</v>
      </c>
      <c r="H1823" s="52" t="s">
        <v>14</v>
      </c>
      <c r="I1823" s="5" t="n">
        <v>-82</v>
      </c>
      <c r="J1823" s="0" t="s">
        <v>38</v>
      </c>
      <c r="K1823" s="0"/>
      <c r="L1823" s="0"/>
    </row>
    <row r="1824" customFormat="false" ht="12.8" hidden="false" customHeight="false" outlineLevel="0" collapsed="false">
      <c r="G1824" s="3" t="n">
        <v>45145</v>
      </c>
      <c r="H1824" s="48" t="s">
        <v>26</v>
      </c>
      <c r="I1824" s="5" t="n">
        <v>82</v>
      </c>
      <c r="J1824" s="0" t="s">
        <v>38</v>
      </c>
      <c r="K1824" s="0"/>
      <c r="L1824" s="0"/>
    </row>
    <row r="1825" customFormat="false" ht="12.8" hidden="false" customHeight="false" outlineLevel="0" collapsed="false">
      <c r="G1825" s="3" t="n">
        <v>45146</v>
      </c>
      <c r="H1825" s="48" t="s">
        <v>26</v>
      </c>
      <c r="I1825" s="5" t="n">
        <v>-42</v>
      </c>
      <c r="J1825" s="0" t="s">
        <v>37</v>
      </c>
      <c r="K1825" s="0"/>
      <c r="L1825" s="0"/>
    </row>
    <row r="1826" customFormat="false" ht="12.8" hidden="false" customHeight="false" outlineLevel="0" collapsed="false">
      <c r="G1826" s="3" t="n">
        <v>45146</v>
      </c>
      <c r="H1826" s="43" t="s">
        <v>23</v>
      </c>
      <c r="I1826" s="5" t="n">
        <v>-35.67</v>
      </c>
      <c r="J1826" s="10" t="s">
        <v>37</v>
      </c>
      <c r="K1826" s="0"/>
      <c r="L1826" s="0"/>
    </row>
    <row r="1827" customFormat="false" ht="12.8" hidden="false" customHeight="false" outlineLevel="0" collapsed="false">
      <c r="G1827" s="3" t="n">
        <v>45146</v>
      </c>
      <c r="H1827" s="43" t="s">
        <v>23</v>
      </c>
      <c r="I1827" s="5" t="n">
        <v>-11.48</v>
      </c>
      <c r="J1827" s="0" t="s">
        <v>37</v>
      </c>
      <c r="K1827" s="0"/>
      <c r="L1827" s="0"/>
    </row>
    <row r="1828" customFormat="false" ht="12.8" hidden="false" customHeight="false" outlineLevel="0" collapsed="false">
      <c r="G1828" s="3" t="n">
        <v>45146</v>
      </c>
      <c r="H1828" s="43" t="s">
        <v>23</v>
      </c>
      <c r="I1828" s="5" t="n">
        <v>-36</v>
      </c>
      <c r="J1828" s="0" t="s">
        <v>134</v>
      </c>
      <c r="K1828" s="0"/>
      <c r="L1828" s="0"/>
    </row>
    <row r="1829" customFormat="false" ht="12.8" hidden="false" customHeight="false" outlineLevel="0" collapsed="false">
      <c r="G1829" s="3" t="n">
        <v>45147</v>
      </c>
      <c r="H1829" s="48" t="s">
        <v>26</v>
      </c>
      <c r="I1829" s="5" t="n">
        <v>-42</v>
      </c>
      <c r="J1829" s="10" t="s">
        <v>115</v>
      </c>
      <c r="K1829" s="0"/>
      <c r="L1829" s="0"/>
    </row>
    <row r="1830" customFormat="false" ht="12.8" hidden="false" customHeight="false" outlineLevel="0" collapsed="false">
      <c r="G1830" s="3" t="n">
        <v>45147</v>
      </c>
      <c r="H1830" s="52" t="s">
        <v>14</v>
      </c>
      <c r="I1830" s="5" t="n">
        <v>-25</v>
      </c>
      <c r="J1830" s="0" t="s">
        <v>38</v>
      </c>
      <c r="K1830" s="0"/>
      <c r="L1830" s="0"/>
    </row>
    <row r="1831" customFormat="false" ht="12.8" hidden="false" customHeight="false" outlineLevel="0" collapsed="false">
      <c r="G1831" s="3" t="n">
        <v>45147</v>
      </c>
      <c r="H1831" s="48" t="s">
        <v>26</v>
      </c>
      <c r="I1831" s="5" t="n">
        <v>25</v>
      </c>
      <c r="J1831" s="0" t="s">
        <v>38</v>
      </c>
      <c r="K1831" s="0"/>
      <c r="L1831" s="0"/>
    </row>
    <row r="1832" customFormat="false" ht="12.8" hidden="false" customHeight="false" outlineLevel="0" collapsed="false">
      <c r="G1832" s="3" t="n">
        <v>45148</v>
      </c>
      <c r="H1832" s="48" t="s">
        <v>26</v>
      </c>
      <c r="I1832" s="5" t="n">
        <v>-42</v>
      </c>
      <c r="J1832" s="0" t="s">
        <v>115</v>
      </c>
      <c r="K1832" s="0"/>
      <c r="L1832" s="0"/>
    </row>
    <row r="1833" customFormat="false" ht="12.8" hidden="false" customHeight="false" outlineLevel="0" collapsed="false">
      <c r="G1833" s="3" t="n">
        <v>45148</v>
      </c>
      <c r="H1833" s="52" t="s">
        <v>14</v>
      </c>
      <c r="I1833" s="5" t="n">
        <v>-100</v>
      </c>
      <c r="J1833" s="0" t="s">
        <v>38</v>
      </c>
      <c r="K1833" s="0"/>
      <c r="L1833" s="0"/>
    </row>
    <row r="1834" customFormat="false" ht="12.8" hidden="false" customHeight="false" outlineLevel="0" collapsed="false">
      <c r="G1834" s="3" t="n">
        <v>45148</v>
      </c>
      <c r="H1834" s="48" t="s">
        <v>26</v>
      </c>
      <c r="I1834" s="5" t="n">
        <v>100</v>
      </c>
      <c r="J1834" s="0" t="s">
        <v>38</v>
      </c>
      <c r="K1834" s="0"/>
      <c r="L1834" s="0"/>
    </row>
    <row r="1835" customFormat="false" ht="12.8" hidden="false" customHeight="false" outlineLevel="0" collapsed="false">
      <c r="G1835" s="3" t="n">
        <v>45148</v>
      </c>
      <c r="H1835" s="48" t="s">
        <v>26</v>
      </c>
      <c r="I1835" s="5" t="n">
        <v>19479</v>
      </c>
      <c r="J1835" s="0" t="s">
        <v>158</v>
      </c>
      <c r="K1835" s="0"/>
      <c r="L1835" s="0"/>
    </row>
    <row r="1836" customFormat="false" ht="12.8" hidden="false" customHeight="false" outlineLevel="0" collapsed="false">
      <c r="G1836" s="3" t="n">
        <v>45148</v>
      </c>
      <c r="H1836" s="48" t="s">
        <v>26</v>
      </c>
      <c r="I1836" s="5" t="n">
        <v>-19482</v>
      </c>
      <c r="J1836" s="0" t="s">
        <v>104</v>
      </c>
      <c r="K1836" s="0"/>
      <c r="L1836" s="0"/>
    </row>
    <row r="1837" customFormat="false" ht="12.8" hidden="false" customHeight="false" outlineLevel="0" collapsed="false">
      <c r="G1837" s="3" t="n">
        <v>45148</v>
      </c>
      <c r="H1837" s="52" t="s">
        <v>14</v>
      </c>
      <c r="I1837" s="5" t="n">
        <v>19482</v>
      </c>
      <c r="J1837" s="0" t="s">
        <v>104</v>
      </c>
      <c r="K1837" s="0"/>
      <c r="L1837" s="0"/>
    </row>
    <row r="1838" customFormat="false" ht="12.8" hidden="false" customHeight="false" outlineLevel="0" collapsed="false">
      <c r="G1838" s="3" t="n">
        <v>45148</v>
      </c>
      <c r="H1838" s="52" t="s">
        <v>14</v>
      </c>
      <c r="I1838" s="5" t="n">
        <f aca="false">19657.29-19657.17</f>
        <v>0.120000000002619</v>
      </c>
      <c r="J1838" s="0" t="s">
        <v>40</v>
      </c>
      <c r="K1838" s="0"/>
      <c r="L1838" s="0"/>
    </row>
    <row r="1839" customFormat="false" ht="12.8" hidden="false" customHeight="false" outlineLevel="0" collapsed="false">
      <c r="G1839" s="3" t="n">
        <v>45149</v>
      </c>
      <c r="H1839" s="48" t="s">
        <v>26</v>
      </c>
      <c r="I1839" s="5" t="n">
        <v>-42</v>
      </c>
      <c r="J1839" s="0" t="s">
        <v>115</v>
      </c>
      <c r="K1839" s="0"/>
      <c r="L1839" s="0"/>
    </row>
    <row r="1840" customFormat="false" ht="12.8" hidden="false" customHeight="false" outlineLevel="0" collapsed="false">
      <c r="G1840" s="3" t="n">
        <v>45149</v>
      </c>
      <c r="H1840" s="52" t="s">
        <v>14</v>
      </c>
      <c r="I1840" s="5" t="n">
        <v>-2000</v>
      </c>
      <c r="J1840" s="0" t="s">
        <v>38</v>
      </c>
      <c r="K1840" s="5"/>
      <c r="L1840" s="0"/>
    </row>
    <row r="1841" customFormat="false" ht="12.8" hidden="false" customHeight="false" outlineLevel="0" collapsed="false">
      <c r="G1841" s="3" t="n">
        <v>45149</v>
      </c>
      <c r="H1841" s="48" t="s">
        <v>26</v>
      </c>
      <c r="I1841" s="5" t="n">
        <v>2000</v>
      </c>
      <c r="J1841" s="0" t="s">
        <v>38</v>
      </c>
      <c r="K1841" s="5"/>
      <c r="L1841" s="0"/>
    </row>
    <row r="1842" customFormat="false" ht="12.8" hidden="false" customHeight="false" outlineLevel="0" collapsed="false">
      <c r="G1842" s="3" t="n">
        <v>45149</v>
      </c>
      <c r="H1842" s="48" t="s">
        <v>26</v>
      </c>
      <c r="I1842" s="5" t="n">
        <v>-2000</v>
      </c>
      <c r="J1842" s="55" t="s">
        <v>144</v>
      </c>
      <c r="K1842" s="5"/>
      <c r="L1842" s="0"/>
    </row>
    <row r="1843" customFormat="false" ht="12.8" hidden="false" customHeight="false" outlineLevel="0" collapsed="false">
      <c r="G1843" s="3" t="n">
        <v>45149</v>
      </c>
      <c r="H1843" s="48" t="s">
        <v>26</v>
      </c>
      <c r="I1843" s="5" t="n">
        <v>-3</v>
      </c>
      <c r="J1843" s="55" t="s">
        <v>92</v>
      </c>
      <c r="K1843" s="5"/>
      <c r="L1843" s="0"/>
    </row>
    <row r="1844" customFormat="false" ht="12.8" hidden="false" customHeight="false" outlineLevel="0" collapsed="false">
      <c r="G1844" s="3" t="n">
        <v>45149</v>
      </c>
      <c r="H1844" s="32" t="s">
        <v>15</v>
      </c>
      <c r="I1844" s="5" t="n">
        <v>2000</v>
      </c>
      <c r="J1844" s="55" t="s">
        <v>144</v>
      </c>
      <c r="K1844" s="67" t="s">
        <v>159</v>
      </c>
      <c r="L1844" s="0"/>
    </row>
    <row r="1845" customFormat="false" ht="12.8" hidden="false" customHeight="false" outlineLevel="0" collapsed="false">
      <c r="G1845" s="3" t="n">
        <v>45149</v>
      </c>
      <c r="H1845" s="32" t="s">
        <v>15</v>
      </c>
      <c r="J1845" s="0" t="s">
        <v>160</v>
      </c>
      <c r="K1845" s="68" t="s">
        <v>161</v>
      </c>
      <c r="L1845" s="0"/>
    </row>
    <row r="1846" customFormat="false" ht="12.8" hidden="false" customHeight="false" outlineLevel="0" collapsed="false">
      <c r="G1846" s="0"/>
      <c r="H1846" s="0"/>
      <c r="I1846" s="0"/>
      <c r="J1846" s="69" t="s">
        <v>162</v>
      </c>
      <c r="K1846" s="0"/>
      <c r="L1846" s="0"/>
    </row>
    <row r="1847" customFormat="false" ht="12.8" hidden="false" customHeight="false" outlineLevel="0" collapsed="false">
      <c r="G1847" s="0"/>
      <c r="H1847" s="0"/>
      <c r="I1847" s="0"/>
      <c r="J1847" s="69" t="s">
        <v>163</v>
      </c>
      <c r="K1847" s="0" t="s">
        <v>162</v>
      </c>
      <c r="L1847" s="0"/>
    </row>
    <row r="1848" customFormat="false" ht="12.8" hidden="false" customHeight="false" outlineLevel="0" collapsed="false">
      <c r="G1848" s="3" t="n">
        <v>45149</v>
      </c>
      <c r="H1848" s="32" t="s">
        <v>15</v>
      </c>
      <c r="J1848" s="0" t="s">
        <v>164</v>
      </c>
      <c r="K1848" s="0" t="s">
        <v>163</v>
      </c>
      <c r="L1848" s="0"/>
    </row>
    <row r="1849" customFormat="false" ht="12.8" hidden="false" customHeight="false" outlineLevel="0" collapsed="false">
      <c r="G1849" s="3" t="n">
        <v>45149</v>
      </c>
      <c r="H1849" s="26" t="s">
        <v>10</v>
      </c>
      <c r="J1849" s="0" t="s">
        <v>104</v>
      </c>
      <c r="K1849" s="0"/>
      <c r="L1849" s="0"/>
    </row>
    <row r="1850" customFormat="false" ht="12.8" hidden="false" customHeight="false" outlineLevel="0" collapsed="false">
      <c r="G1850" s="0"/>
      <c r="H1850" s="0"/>
      <c r="I1850" s="0"/>
      <c r="J1850" s="0"/>
      <c r="K1850" s="0"/>
      <c r="L1850" s="0"/>
    </row>
    <row r="1851" customFormat="false" ht="12.8" hidden="false" customHeight="false" outlineLevel="0" collapsed="false">
      <c r="G1851" s="0"/>
      <c r="H1851" s="0"/>
      <c r="I1851" s="0"/>
      <c r="J1851" s="0"/>
      <c r="K1851" s="0"/>
      <c r="L1851" s="0"/>
    </row>
    <row r="1852" customFormat="false" ht="12.8" hidden="false" customHeight="false" outlineLevel="0" collapsed="false">
      <c r="G1852" s="0"/>
      <c r="H1852" s="0"/>
      <c r="I1852" s="0"/>
      <c r="J1852" s="0"/>
      <c r="K1852" s="0"/>
      <c r="L1852" s="0"/>
    </row>
    <row r="1853" customFormat="false" ht="12.8" hidden="false" customHeight="false" outlineLevel="0" collapsed="false">
      <c r="G1853" s="0"/>
      <c r="H1853" s="0"/>
      <c r="I1853" s="0"/>
      <c r="J1853" s="0"/>
      <c r="K1853" s="0"/>
      <c r="L1853" s="0"/>
    </row>
    <row r="1854" customFormat="false" ht="12.8" hidden="false" customHeight="false" outlineLevel="0" collapsed="false">
      <c r="G1854" s="0"/>
      <c r="H1854" s="0"/>
      <c r="I1854" s="0"/>
      <c r="J1854" s="0"/>
      <c r="K1854" s="0"/>
      <c r="L1854" s="0"/>
    </row>
    <row r="1855" customFormat="false" ht="12.8" hidden="false" customHeight="false" outlineLevel="0" collapsed="false">
      <c r="G1855" s="0"/>
      <c r="H1855" s="48" t="s">
        <v>26</v>
      </c>
      <c r="J1855" s="0" t="s">
        <v>37</v>
      </c>
      <c r="K1855" s="0" t="s">
        <v>165</v>
      </c>
      <c r="L1855" s="0"/>
    </row>
    <row r="1856" customFormat="false" ht="12.8" hidden="false" customHeight="false" outlineLevel="0" collapsed="false">
      <c r="H1856" s="0"/>
      <c r="I1856" s="0"/>
      <c r="J1856" s="0"/>
      <c r="K1856" s="0"/>
      <c r="L1856" s="0"/>
    </row>
    <row r="1857" customFormat="false" ht="12.8" hidden="false" customHeight="false" outlineLevel="0" collapsed="false">
      <c r="G1857" s="3" t="n">
        <v>45149</v>
      </c>
      <c r="H1857" s="0"/>
      <c r="J1857" s="0" t="s">
        <v>166</v>
      </c>
      <c r="K1857" s="0"/>
      <c r="L1857" s="0"/>
    </row>
    <row r="1858" customFormat="false" ht="12.8" hidden="false" customHeight="false" outlineLevel="0" collapsed="false">
      <c r="H1858" s="0"/>
      <c r="I1858" s="0"/>
      <c r="J1858" s="0"/>
      <c r="K1858" s="0"/>
      <c r="L1858" s="0"/>
    </row>
    <row r="1859" customFormat="false" ht="12.8" hidden="false" customHeight="false" outlineLevel="0" collapsed="false">
      <c r="H1859" s="0"/>
      <c r="I1859" s="0"/>
      <c r="J1859" s="0"/>
      <c r="K1859" s="0"/>
      <c r="L1859" s="0"/>
    </row>
    <row r="1860" customFormat="false" ht="12.8" hidden="false" customHeight="false" outlineLevel="0" collapsed="false">
      <c r="H1860" s="0"/>
      <c r="I1860" s="0"/>
      <c r="J1860" s="0"/>
      <c r="K1860" s="0"/>
      <c r="L1860" s="0"/>
    </row>
    <row r="1861" customFormat="false" ht="12.8" hidden="false" customHeight="false" outlineLevel="0" collapsed="false">
      <c r="H1861" s="43" t="s">
        <v>23</v>
      </c>
      <c r="J1861" s="10" t="s">
        <v>37</v>
      </c>
      <c r="K1861" s="0"/>
      <c r="L1861" s="0"/>
    </row>
    <row r="1862" customFormat="false" ht="12.8" hidden="false" customHeight="false" outlineLevel="0" collapsed="false">
      <c r="H1862" s="0"/>
      <c r="I1862" s="0"/>
      <c r="J1862" s="0"/>
      <c r="K1862" s="0"/>
      <c r="L1862" s="0"/>
    </row>
    <row r="1863" customFormat="false" ht="12.8" hidden="false" customHeight="false" outlineLevel="0" collapsed="false">
      <c r="H1863" s="0"/>
      <c r="I1863" s="0"/>
      <c r="J1863" s="0"/>
      <c r="K1863" s="0"/>
      <c r="L1863" s="0"/>
    </row>
    <row r="1864" customFormat="false" ht="12.8" hidden="false" customHeight="false" outlineLevel="0" collapsed="false">
      <c r="H1864" s="0"/>
      <c r="I1864" s="0"/>
      <c r="J1864" s="0"/>
      <c r="K1864" s="0"/>
      <c r="L1864" s="0"/>
    </row>
    <row r="1865" customFormat="false" ht="12.8" hidden="false" customHeight="false" outlineLevel="0" collapsed="false">
      <c r="H1865" s="0"/>
      <c r="I1865" s="0"/>
      <c r="J1865" s="0"/>
      <c r="K1865" s="0"/>
      <c r="L1865" s="0"/>
    </row>
    <row r="1866" customFormat="false" ht="12.8" hidden="false" customHeight="false" outlineLevel="0" collapsed="false">
      <c r="H1866" s="26" t="s">
        <v>10</v>
      </c>
      <c r="J1866" s="54" t="s">
        <v>38</v>
      </c>
      <c r="K1866" s="5"/>
      <c r="L1866" s="5"/>
    </row>
    <row r="1867" customFormat="false" ht="12.8" hidden="false" customHeight="false" outlineLevel="0" collapsed="false">
      <c r="H1867" s="32" t="s">
        <v>15</v>
      </c>
      <c r="J1867" s="54" t="s">
        <v>38</v>
      </c>
      <c r="K1867" s="70" t="s">
        <v>167</v>
      </c>
      <c r="L1867" s="70"/>
    </row>
    <row r="1868" customFormat="false" ht="12.8" hidden="false" customHeight="false" outlineLevel="0" collapsed="false">
      <c r="H1868" s="32" t="s">
        <v>15</v>
      </c>
      <c r="J1868" s="54" t="s">
        <v>37</v>
      </c>
      <c r="K1868" s="71" t="s">
        <v>168</v>
      </c>
      <c r="L1868" s="72" t="n">
        <v>595</v>
      </c>
    </row>
    <row r="1869" customFormat="false" ht="12.8" hidden="false" customHeight="false" outlineLevel="0" collapsed="false">
      <c r="H1869" s="43" t="s">
        <v>23</v>
      </c>
      <c r="J1869" s="10" t="s">
        <v>37</v>
      </c>
      <c r="K1869" s="71" t="s">
        <v>169</v>
      </c>
      <c r="L1869" s="72" t="n">
        <v>2.5</v>
      </c>
    </row>
    <row r="1870" customFormat="false" ht="12.8" hidden="false" customHeight="false" outlineLevel="0" collapsed="false">
      <c r="H1870" s="43" t="s">
        <v>23</v>
      </c>
      <c r="J1870" s="10" t="s">
        <v>42</v>
      </c>
      <c r="K1870" s="73" t="s">
        <v>170</v>
      </c>
      <c r="L1870" s="72" t="n">
        <v>46</v>
      </c>
    </row>
    <row r="1871" customFormat="false" ht="12.8" hidden="false" customHeight="false" outlineLevel="0" collapsed="false">
      <c r="H1871" s="43" t="s">
        <v>23</v>
      </c>
      <c r="J1871" s="10" t="s">
        <v>43</v>
      </c>
      <c r="K1871" s="71" t="s">
        <v>171</v>
      </c>
      <c r="L1871" s="72" t="n">
        <v>33</v>
      </c>
    </row>
    <row r="1872" customFormat="false" ht="12.8" hidden="false" customHeight="false" outlineLevel="0" collapsed="false">
      <c r="H1872" s="0"/>
      <c r="J1872" s="0"/>
      <c r="K1872" s="73" t="s">
        <v>172</v>
      </c>
      <c r="L1872" s="74"/>
    </row>
    <row r="1873" customFormat="false" ht="12.8" hidden="false" customHeight="false" outlineLevel="0" collapsed="false">
      <c r="H1873" s="52" t="s">
        <v>14</v>
      </c>
      <c r="J1873" s="10" t="s">
        <v>66</v>
      </c>
      <c r="K1873" s="75" t="s">
        <v>173</v>
      </c>
      <c r="L1873" s="76" t="n">
        <f aca="false">SUM(L1868:L1872)</f>
        <v>676.5</v>
      </c>
    </row>
    <row r="1874" customFormat="false" ht="12.8" hidden="false" customHeight="false" outlineLevel="0" collapsed="false">
      <c r="H1874" s="48" t="s">
        <v>26</v>
      </c>
      <c r="J1874" s="10" t="s">
        <v>66</v>
      </c>
      <c r="K1874" s="77" t="s">
        <v>174</v>
      </c>
      <c r="L1874" s="78" t="n">
        <v>1</v>
      </c>
    </row>
    <row r="1875" customFormat="false" ht="12.8" hidden="false" customHeight="false" outlineLevel="0" collapsed="false">
      <c r="H1875" s="48" t="s">
        <v>26</v>
      </c>
      <c r="J1875" s="55" t="s">
        <v>156</v>
      </c>
      <c r="K1875" s="79" t="s">
        <v>175</v>
      </c>
      <c r="L1875" s="80" t="n">
        <f aca="false">ROUNDUP(L1874-L1873, 0)</f>
        <v>-676</v>
      </c>
    </row>
  </sheetData>
  <mergeCells count="3">
    <mergeCell ref="G1:J1"/>
    <mergeCell ref="G15:K15"/>
    <mergeCell ref="K1867:L1867"/>
  </mergeCells>
  <hyperlinks>
    <hyperlink ref="B5" r:id="rId1" display="User: 0744684867 | petre.iordanescu@gmil.com / PIN: 3914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8000"/>
    <pageSetUpPr fitToPage="true"/>
  </sheetPr>
  <dimension ref="A1:AMJ183"/>
  <sheetViews>
    <sheetView showFormulas="false" showGridLines="true" showRowColHeaders="true" showZeros="true" rightToLeft="false" tabSelected="false" showOutlineSymbols="true" defaultGridColor="true" view="normal" topLeftCell="AB1" colorId="64" zoomScale="100" zoomScaleNormal="100" zoomScalePageLayoutView="100" workbookViewId="0">
      <pane xSplit="0" ySplit="1" topLeftCell="A9" activePane="bottomLeft" state="frozen"/>
      <selection pane="topLeft" activeCell="AB1" activeCellId="0" sqref="AB1"/>
      <selection pane="bottomLeft" activeCell="AH10" activeCellId="0" sqref="AH10"/>
    </sheetView>
  </sheetViews>
  <sheetFormatPr defaultColWidth="9.171875" defaultRowHeight="12.8" zeroHeight="false" outlineLevelRow="0" outlineLevelCol="0"/>
  <cols>
    <col collapsed="false" customWidth="true" hidden="false" outlineLevel="0" max="1" min="1" style="81" width="4.44"/>
    <col collapsed="false" customWidth="true" hidden="false" outlineLevel="0" max="2" min="2" style="82" width="8.44"/>
    <col collapsed="false" customWidth="true" hidden="false" outlineLevel="0" max="3" min="3" style="82" width="4.17"/>
    <col collapsed="false" customWidth="true" hidden="false" outlineLevel="0" max="4" min="4" style="83" width="10.45"/>
    <col collapsed="false" customWidth="true" hidden="false" outlineLevel="0" max="5" min="5" style="83" width="9.56"/>
    <col collapsed="false" customWidth="true" hidden="false" outlineLevel="0" max="6" min="6" style="83" width="10.58"/>
    <col collapsed="false" customWidth="true" hidden="false" outlineLevel="0" max="7" min="7" style="84" width="10.45"/>
    <col collapsed="false" customWidth="true" hidden="false" outlineLevel="0" max="8" min="8" style="81" width="4.44"/>
    <col collapsed="false" customWidth="true" hidden="false" outlineLevel="0" max="9" min="9" style="82" width="8.44"/>
    <col collapsed="false" customWidth="true" hidden="false" outlineLevel="0" max="10" min="10" style="82" width="4.17"/>
    <col collapsed="false" customWidth="true" hidden="false" outlineLevel="0" max="11" min="11" style="83" width="10.45"/>
    <col collapsed="false" customWidth="true" hidden="false" outlineLevel="0" max="12" min="12" style="83" width="9.56"/>
    <col collapsed="false" customWidth="true" hidden="false" outlineLevel="0" max="13" min="13" style="83" width="10.58"/>
    <col collapsed="false" customWidth="true" hidden="false" outlineLevel="0" max="14" min="14" style="84" width="10.45"/>
    <col collapsed="false" customWidth="true" hidden="false" outlineLevel="0" max="15" min="15" style="81" width="4.44"/>
    <col collapsed="false" customWidth="true" hidden="false" outlineLevel="0" max="16" min="16" style="82" width="8.44"/>
    <col collapsed="false" customWidth="true" hidden="false" outlineLevel="0" max="17" min="17" style="82" width="4.17"/>
    <col collapsed="false" customWidth="true" hidden="false" outlineLevel="0" max="18" min="18" style="83" width="10.45"/>
    <col collapsed="false" customWidth="true" hidden="false" outlineLevel="0" max="19" min="19" style="83" width="9.56"/>
    <col collapsed="false" customWidth="true" hidden="false" outlineLevel="0" max="20" min="20" style="83" width="10.58"/>
    <col collapsed="false" customWidth="true" hidden="false" outlineLevel="0" max="21" min="21" style="84" width="10.45"/>
    <col collapsed="false" customWidth="true" hidden="false" outlineLevel="0" max="22" min="22" style="81" width="4.44"/>
    <col collapsed="false" customWidth="true" hidden="false" outlineLevel="0" max="23" min="23" style="82" width="8.44"/>
    <col collapsed="false" customWidth="true" hidden="false" outlineLevel="0" max="24" min="24" style="82" width="4.17"/>
    <col collapsed="false" customWidth="true" hidden="false" outlineLevel="0" max="25" min="25" style="83" width="10.45"/>
    <col collapsed="false" customWidth="true" hidden="false" outlineLevel="0" max="26" min="26" style="83" width="9.56"/>
    <col collapsed="false" customWidth="true" hidden="false" outlineLevel="0" max="27" min="27" style="83" width="10.58"/>
    <col collapsed="false" customWidth="true" hidden="false" outlineLevel="0" max="28" min="28" style="84" width="10.45"/>
    <col collapsed="false" customWidth="true" hidden="false" outlineLevel="0" max="29" min="29" style="81" width="4.44"/>
    <col collapsed="false" customWidth="true" hidden="false" outlineLevel="0" max="30" min="30" style="82" width="8.44"/>
    <col collapsed="false" customWidth="true" hidden="false" outlineLevel="0" max="31" min="31" style="82" width="4.17"/>
    <col collapsed="false" customWidth="true" hidden="false" outlineLevel="0" max="32" min="32" style="83" width="10.45"/>
    <col collapsed="false" customWidth="true" hidden="false" outlineLevel="0" max="33" min="33" style="83" width="9.56"/>
    <col collapsed="false" customWidth="true" hidden="false" outlineLevel="0" max="34" min="34" style="83" width="10.58"/>
    <col collapsed="false" customWidth="true" hidden="false" outlineLevel="0" max="35" min="35" style="84" width="10.45"/>
    <col collapsed="false" customWidth="true" hidden="false" outlineLevel="0" max="36" min="36" style="81" width="4.44"/>
    <col collapsed="false" customWidth="true" hidden="false" outlineLevel="0" max="37" min="37" style="82" width="8.44"/>
    <col collapsed="false" customWidth="true" hidden="false" outlineLevel="0" max="38" min="38" style="82" width="4.17"/>
    <col collapsed="false" customWidth="true" hidden="false" outlineLevel="0" max="39" min="39" style="83" width="10.45"/>
    <col collapsed="false" customWidth="true" hidden="false" outlineLevel="0" max="40" min="40" style="83" width="9.56"/>
    <col collapsed="false" customWidth="true" hidden="false" outlineLevel="0" max="41" min="41" style="83" width="10.58"/>
    <col collapsed="false" customWidth="true" hidden="false" outlineLevel="0" max="42" min="42" style="84" width="10.45"/>
    <col collapsed="false" customWidth="true" hidden="false" outlineLevel="0" max="43" min="43" style="81" width="4.44"/>
    <col collapsed="false" customWidth="true" hidden="false" outlineLevel="0" max="44" min="44" style="82" width="8.44"/>
    <col collapsed="false" customWidth="true" hidden="false" outlineLevel="0" max="45" min="45" style="82" width="4.17"/>
    <col collapsed="false" customWidth="true" hidden="false" outlineLevel="0" max="46" min="46" style="83" width="10.45"/>
    <col collapsed="false" customWidth="true" hidden="false" outlineLevel="0" max="47" min="47" style="83" width="9.56"/>
    <col collapsed="false" customWidth="true" hidden="false" outlineLevel="0" max="48" min="48" style="83" width="10.58"/>
    <col collapsed="false" customWidth="true" hidden="false" outlineLevel="0" max="49" min="49" style="84" width="10.45"/>
    <col collapsed="false" customWidth="false" hidden="false" outlineLevel="0" max="618" min="50" style="85" width="9.16"/>
    <col collapsed="false" customWidth="true" hidden="false" outlineLevel="0" max="1024" min="619" style="0" width="11.52"/>
  </cols>
  <sheetData>
    <row r="1" s="89" customFormat="true" ht="21" hidden="false" customHeight="true" outlineLevel="0" collapsed="false">
      <c r="A1" s="86"/>
      <c r="B1" s="87" t="str">
        <f aca="false">"Perioada: " &amp;TEXT(MIN(B4:B34),"dd.mmm")&amp;" - "&amp;TEXT(MAX(B4:B34),"dd.mmm.yy")</f>
        <v>Perioada: 05.Apr - 04.May.23</v>
      </c>
      <c r="C1" s="87"/>
      <c r="D1" s="87"/>
      <c r="E1" s="87"/>
      <c r="F1" s="87"/>
      <c r="G1" s="87"/>
      <c r="H1" s="86"/>
      <c r="I1" s="87" t="str">
        <f aca="false">"Perioada: " &amp;TEXT(MIN(I4:I34),"dd.mmm")&amp;" - "&amp;TEXT(MAX(I4:I34),"dd.mmm.yy")</f>
        <v>Perioada: 05.May - 04.Jun.23</v>
      </c>
      <c r="J1" s="87"/>
      <c r="K1" s="87"/>
      <c r="L1" s="87"/>
      <c r="M1" s="87"/>
      <c r="N1" s="87"/>
      <c r="O1" s="86"/>
      <c r="P1" s="87" t="str">
        <f aca="false">"Perioada: " &amp;TEXT(MIN(P4:P34),"dd.mmm")&amp;" - "&amp;TEXT(MAX(P4:P34),"dd.mmm.yy")</f>
        <v>Perioada: 05.Jun - 04.Jul.23</v>
      </c>
      <c r="Q1" s="87"/>
      <c r="R1" s="87"/>
      <c r="S1" s="87"/>
      <c r="T1" s="87"/>
      <c r="U1" s="87"/>
      <c r="V1" s="86"/>
      <c r="W1" s="87" t="str">
        <f aca="false">"Perioada: " &amp;TEXT(MIN(W4:W34),"dd.mmm")&amp;" - "&amp;TEXT(MAX(W4:W34),"dd.mmm.yy")</f>
        <v>Perioada: 05.Jul - 04.Aug.23</v>
      </c>
      <c r="X1" s="87"/>
      <c r="Y1" s="87"/>
      <c r="Z1" s="87"/>
      <c r="AA1" s="87"/>
      <c r="AB1" s="87"/>
      <c r="AC1" s="86"/>
      <c r="AD1" s="88" t="str">
        <f aca="false">"Perioada: " &amp;TEXT(MIN(AD4:AD34),"dd.mmm")&amp;" - "&amp;TEXT(MAX(AD4:AD34),"dd.mmm.yy")</f>
        <v>Perioada: 05.Aug - 04.Sep.23</v>
      </c>
      <c r="AE1" s="88"/>
      <c r="AF1" s="88"/>
      <c r="AG1" s="88"/>
      <c r="AH1" s="88"/>
      <c r="AI1" s="88"/>
      <c r="AJ1" s="86"/>
      <c r="AK1" s="87" t="str">
        <f aca="false">"Perioada: " &amp;TEXT(MIN(AK4:AK34),"dd.mmm")&amp;" - "&amp;TEXT(MAX(AK4:AK34),"dd.mmm.yy")</f>
        <v>Perioada: 05.Sep - 04.Oct.23</v>
      </c>
      <c r="AL1" s="87"/>
      <c r="AM1" s="87"/>
      <c r="AN1" s="87"/>
      <c r="AO1" s="87"/>
      <c r="AP1" s="87"/>
      <c r="AQ1" s="86"/>
      <c r="AR1" s="87" t="str">
        <f aca="false">"Perioada: " &amp;TEXT(MIN(AR4:AR34),"dd.mmm")&amp;" - "&amp;TEXT(MAX(AR4:AR34),"dd.mmm.yy")</f>
        <v>Perioada: 05.Oct - 04.Nov.23</v>
      </c>
      <c r="AS1" s="87"/>
      <c r="AT1" s="87"/>
      <c r="AU1" s="87"/>
      <c r="AV1" s="87"/>
      <c r="AW1" s="87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5" customFormat="true" ht="21" hidden="false" customHeight="true" outlineLevel="0" collapsed="false">
      <c r="A2" s="86"/>
      <c r="B2" s="90" t="s">
        <v>176</v>
      </c>
      <c r="C2" s="91"/>
      <c r="D2" s="92"/>
      <c r="E2" s="92"/>
      <c r="F2" s="93" t="n">
        <v>0</v>
      </c>
      <c r="G2" s="94" t="s">
        <v>177</v>
      </c>
      <c r="H2" s="86"/>
      <c r="I2" s="90" t="s">
        <v>176</v>
      </c>
      <c r="J2" s="91"/>
      <c r="K2" s="92"/>
      <c r="L2" s="92"/>
      <c r="M2" s="93" t="n">
        <v>0</v>
      </c>
      <c r="N2" s="94" t="s">
        <v>177</v>
      </c>
      <c r="O2" s="86"/>
      <c r="P2" s="90" t="s">
        <v>176</v>
      </c>
      <c r="Q2" s="91"/>
      <c r="R2" s="92"/>
      <c r="S2" s="92"/>
      <c r="T2" s="93" t="n">
        <v>0</v>
      </c>
      <c r="U2" s="94" t="s">
        <v>177</v>
      </c>
      <c r="V2" s="86"/>
      <c r="W2" s="90" t="s">
        <v>176</v>
      </c>
      <c r="X2" s="91"/>
      <c r="Y2" s="92"/>
      <c r="Z2" s="92"/>
      <c r="AA2" s="93" t="n">
        <v>0</v>
      </c>
      <c r="AB2" s="94" t="s">
        <v>177</v>
      </c>
      <c r="AC2" s="86"/>
      <c r="AD2" s="90" t="s">
        <v>176</v>
      </c>
      <c r="AE2" s="91"/>
      <c r="AF2" s="92"/>
      <c r="AG2" s="92"/>
      <c r="AH2" s="93" t="n">
        <v>0</v>
      </c>
      <c r="AI2" s="94" t="s">
        <v>177</v>
      </c>
      <c r="AJ2" s="86"/>
      <c r="AK2" s="90" t="s">
        <v>176</v>
      </c>
      <c r="AL2" s="91"/>
      <c r="AM2" s="92"/>
      <c r="AN2" s="92"/>
      <c r="AO2" s="93" t="s">
        <v>178</v>
      </c>
      <c r="AP2" s="94" t="s">
        <v>177</v>
      </c>
      <c r="AQ2" s="86"/>
      <c r="AR2" s="90" t="s">
        <v>176</v>
      </c>
      <c r="AS2" s="91"/>
      <c r="AT2" s="92"/>
      <c r="AU2" s="92"/>
      <c r="AV2" s="93" t="s">
        <v>178</v>
      </c>
      <c r="AW2" s="94" t="s">
        <v>177</v>
      </c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89" customFormat="true" ht="21" hidden="false" customHeight="true" outlineLevel="0" collapsed="false">
      <c r="A3" s="86"/>
      <c r="B3" s="96" t="s">
        <v>7</v>
      </c>
      <c r="C3" s="97" t="s">
        <v>179</v>
      </c>
      <c r="D3" s="98" t="s">
        <v>180</v>
      </c>
      <c r="E3" s="98" t="s">
        <v>181</v>
      </c>
      <c r="F3" s="99" t="s">
        <v>182</v>
      </c>
      <c r="G3" s="100" t="s">
        <v>183</v>
      </c>
      <c r="H3" s="86"/>
      <c r="I3" s="96" t="s">
        <v>7</v>
      </c>
      <c r="J3" s="97" t="s">
        <v>179</v>
      </c>
      <c r="K3" s="98" t="s">
        <v>180</v>
      </c>
      <c r="L3" s="98" t="s">
        <v>181</v>
      </c>
      <c r="M3" s="99" t="s">
        <v>182</v>
      </c>
      <c r="N3" s="100" t="s">
        <v>183</v>
      </c>
      <c r="O3" s="86"/>
      <c r="P3" s="96" t="s">
        <v>7</v>
      </c>
      <c r="Q3" s="97" t="s">
        <v>179</v>
      </c>
      <c r="R3" s="98" t="s">
        <v>180</v>
      </c>
      <c r="S3" s="98" t="s">
        <v>181</v>
      </c>
      <c r="T3" s="99" t="s">
        <v>182</v>
      </c>
      <c r="U3" s="100" t="s">
        <v>183</v>
      </c>
      <c r="V3" s="86"/>
      <c r="W3" s="96" t="s">
        <v>7</v>
      </c>
      <c r="X3" s="97" t="s">
        <v>179</v>
      </c>
      <c r="Y3" s="98" t="s">
        <v>180</v>
      </c>
      <c r="Z3" s="98" t="s">
        <v>181</v>
      </c>
      <c r="AA3" s="99" t="s">
        <v>182</v>
      </c>
      <c r="AB3" s="100" t="s">
        <v>183</v>
      </c>
      <c r="AC3" s="86"/>
      <c r="AD3" s="96" t="s">
        <v>7</v>
      </c>
      <c r="AE3" s="97" t="s">
        <v>179</v>
      </c>
      <c r="AF3" s="98" t="s">
        <v>180</v>
      </c>
      <c r="AG3" s="98" t="s">
        <v>181</v>
      </c>
      <c r="AH3" s="99" t="s">
        <v>182</v>
      </c>
      <c r="AI3" s="100" t="s">
        <v>183</v>
      </c>
      <c r="AJ3" s="86"/>
      <c r="AK3" s="96" t="s">
        <v>7</v>
      </c>
      <c r="AL3" s="97" t="s">
        <v>179</v>
      </c>
      <c r="AM3" s="98" t="s">
        <v>180</v>
      </c>
      <c r="AN3" s="98" t="s">
        <v>181</v>
      </c>
      <c r="AO3" s="99" t="s">
        <v>182</v>
      </c>
      <c r="AP3" s="100" t="s">
        <v>183</v>
      </c>
      <c r="AQ3" s="86"/>
      <c r="AR3" s="96" t="s">
        <v>7</v>
      </c>
      <c r="AS3" s="97" t="s">
        <v>179</v>
      </c>
      <c r="AT3" s="98" t="s">
        <v>180</v>
      </c>
      <c r="AU3" s="98" t="s">
        <v>181</v>
      </c>
      <c r="AV3" s="99" t="s">
        <v>182</v>
      </c>
      <c r="AW3" s="100" t="s">
        <v>183</v>
      </c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89" customFormat="true" ht="21" hidden="false" customHeight="true" outlineLevel="0" collapsed="false">
      <c r="A4" s="101" t="n">
        <v>1</v>
      </c>
      <c r="B4" s="102" t="n">
        <v>45021</v>
      </c>
      <c r="C4" s="103" t="str">
        <f aca="false">IF(B4="","",CHOOSE(WEEKDAY(B4,2),"Mon","Tue","Wed","Thu","Fri","Sat","Sun"))</f>
        <v>Wed</v>
      </c>
      <c r="D4" s="104" t="n">
        <f aca="false">IF(ISNA(VLOOKUP(WEEKDAY(B4,2),val_arr,HLOOKUP(B4,date_arr,2))),"",VLOOKUP(WEEKDAY(B4,2),val_arr,HLOOKUP(B4,date_arr,2)))</f>
        <v>100</v>
      </c>
      <c r="E4" s="105" t="n">
        <f aca="false">67</f>
        <v>67</v>
      </c>
      <c r="F4" s="106" t="n">
        <v>0</v>
      </c>
      <c r="G4" s="107" t="n">
        <f aca="false">IF(E4="","",D4-E4)</f>
        <v>33</v>
      </c>
      <c r="H4" s="101" t="n">
        <v>1</v>
      </c>
      <c r="I4" s="102" t="n">
        <v>45051</v>
      </c>
      <c r="J4" s="103" t="str">
        <f aca="false">IF(I4="","",CHOOSE(WEEKDAY(I4,2),"Mon","Tue","Wed","Thu","Fri","Sat","Sun"))</f>
        <v>Fri</v>
      </c>
      <c r="K4" s="104" t="n">
        <f aca="false">IF(ISNA(VLOOKUP(WEEKDAY(I4,2),val_arr,HLOOKUP(I4,date_arr,2))),"",VLOOKUP(WEEKDAY(I4,2),val_arr,HLOOKUP(I4,date_arr,2)))</f>
        <v>100</v>
      </c>
      <c r="L4" s="105" t="n">
        <f aca="false">0+51-0</f>
        <v>51</v>
      </c>
      <c r="M4" s="106" t="n">
        <v>0</v>
      </c>
      <c r="N4" s="107" t="n">
        <f aca="false">IF(L4="","",K4-L4)</f>
        <v>49</v>
      </c>
      <c r="O4" s="101" t="n">
        <v>1</v>
      </c>
      <c r="P4" s="102" t="n">
        <v>45082</v>
      </c>
      <c r="Q4" s="103" t="str">
        <f aca="false">IF(P4="","",CHOOSE(WEEKDAY(P4,2),"Mon","Tue","Wed","Thu","Fri","Sat","Sun"))</f>
        <v>Mon</v>
      </c>
      <c r="R4" s="104" t="n">
        <f aca="false">IF(ISNA(VLOOKUP(WEEKDAY(P4,2),val_arr,HLOOKUP(P4,date_arr,2))),"",VLOOKUP(WEEKDAY(P4,2),val_arr,HLOOKUP(P4,date_arr,2)))</f>
        <v>100</v>
      </c>
      <c r="S4" s="105" t="n">
        <f aca="false">0+40+24</f>
        <v>64</v>
      </c>
      <c r="T4" s="106" t="n">
        <v>0</v>
      </c>
      <c r="U4" s="107" t="n">
        <f aca="false">IF(S4="","",R4-S4)</f>
        <v>36</v>
      </c>
      <c r="V4" s="101" t="n">
        <v>1</v>
      </c>
      <c r="W4" s="102" t="n">
        <v>45112</v>
      </c>
      <c r="X4" s="103" t="str">
        <f aca="false">IF(W4="","",CHOOSE(WEEKDAY(W4,2),"Mon","Tue","Wed","Thu","Fri","Sat","Sun"))</f>
        <v>Wed</v>
      </c>
      <c r="Y4" s="104" t="n">
        <f aca="false">IF(ISNA(VLOOKUP(WEEKDAY(W4,2),val_arr,HLOOKUP(W4,date_arr,2))),"",VLOOKUP(WEEKDAY(W4,2),val_arr,HLOOKUP(W4,date_arr,2)))</f>
        <v>100</v>
      </c>
      <c r="Z4" s="105" t="n">
        <f aca="false">0+42+20</f>
        <v>62</v>
      </c>
      <c r="AA4" s="106" t="n">
        <v>0</v>
      </c>
      <c r="AB4" s="107" t="n">
        <f aca="false">IF(Z4="","",Y4-Z4)</f>
        <v>38</v>
      </c>
      <c r="AC4" s="101" t="n">
        <v>1</v>
      </c>
      <c r="AD4" s="102" t="n">
        <v>45143</v>
      </c>
      <c r="AE4" s="103" t="str">
        <f aca="false">IF(AD4="","",CHOOSE(WEEKDAY(AD4,2),"Mon","Tue","Wed","Thu","Fri","Sat","Sun"))</f>
        <v>Sat</v>
      </c>
      <c r="AF4" s="104" t="n">
        <f aca="false">IF(ISNA(VLOOKUP(WEEKDAY(AD4,2),val_arr,HLOOKUP(AD4,date_arr,2))),"",VLOOKUP(WEEKDAY(AD4,2),val_arr,HLOOKUP(AD4,date_arr,2)))</f>
        <v>100</v>
      </c>
      <c r="AG4" s="105" t="n">
        <f aca="false">0+42+42-1</f>
        <v>83</v>
      </c>
      <c r="AH4" s="106" t="n">
        <v>0</v>
      </c>
      <c r="AI4" s="107" t="n">
        <f aca="false">IF(AG4="","",AF4-AG4)</f>
        <v>17</v>
      </c>
      <c r="AJ4" s="101" t="n">
        <v>1</v>
      </c>
      <c r="AK4" s="102" t="n">
        <v>45174</v>
      </c>
      <c r="AL4" s="103" t="str">
        <f aca="false">IF(AK4="","",CHOOSE(WEEKDAY(AK4,2),"Mon","Tue","Wed","Thu","Fri","Sat","Sun"))</f>
        <v>Tue</v>
      </c>
      <c r="AM4" s="104" t="n">
        <f aca="false">IF(ISNA(VLOOKUP(WEEKDAY(AK4,2),val_arr,HLOOKUP(AK4,date_arr,2))),"",VLOOKUP(WEEKDAY(AK4,2),val_arr,HLOOKUP(AK4,date_arr,2)))</f>
        <v>100</v>
      </c>
      <c r="AN4" s="105"/>
      <c r="AO4" s="106"/>
      <c r="AP4" s="107" t="str">
        <f aca="false">IF(AN4="","",AM4-AN4)</f>
        <v/>
      </c>
      <c r="AQ4" s="101" t="n">
        <v>1</v>
      </c>
      <c r="AR4" s="102" t="n">
        <v>45204</v>
      </c>
      <c r="AS4" s="103" t="str">
        <f aca="false">IF(AR4="","",CHOOSE(WEEKDAY(AR4,2),"Mon","Tue","Wed","Thu","Fri","Sat","Sun"))</f>
        <v>Thu</v>
      </c>
      <c r="AT4" s="104" t="n">
        <f aca="false">IF(ISNA(VLOOKUP(WEEKDAY(AR4,2),val_arr,HLOOKUP(AR4,date_arr,2))),"",VLOOKUP(WEEKDAY(AR4,2),val_arr,HLOOKUP(AR4,date_arr,2)))</f>
        <v>100</v>
      </c>
      <c r="AU4" s="105"/>
      <c r="AV4" s="106"/>
      <c r="AW4" s="107" t="str">
        <f aca="false">IF(AU4="","",AT4-AU4)</f>
        <v/>
      </c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89" customFormat="true" ht="21" hidden="false" customHeight="true" outlineLevel="0" collapsed="false">
      <c r="A5" s="101" t="n">
        <v>2</v>
      </c>
      <c r="B5" s="102" t="n">
        <v>45022</v>
      </c>
      <c r="C5" s="103" t="str">
        <f aca="false">IF(B5="","",CHOOSE(WEEKDAY(B5,2),"Mon","Tue","Wed","Thu","Fri","Sat","Sun"))</f>
        <v>Thu</v>
      </c>
      <c r="D5" s="104" t="n">
        <f aca="false">IF(ISNA(VLOOKUP(WEEKDAY(B5,2),val_arr,HLOOKUP(B5,date_arr,2))),"",VLOOKUP(WEEKDAY(B5,2),val_arr,HLOOKUP(B5,date_arr,2)))</f>
        <v>100</v>
      </c>
      <c r="E5" s="105" t="n">
        <f aca="false">38</f>
        <v>38</v>
      </c>
      <c r="F5" s="106" t="n">
        <v>0</v>
      </c>
      <c r="G5" s="107" t="n">
        <f aca="false">IF(E5="","",D5-E5)</f>
        <v>62</v>
      </c>
      <c r="H5" s="101" t="n">
        <v>2</v>
      </c>
      <c r="I5" s="102" t="n">
        <v>45052</v>
      </c>
      <c r="J5" s="103" t="str">
        <f aca="false">IF(I5="","",CHOOSE(WEEKDAY(I5,2),"Mon","Tue","Wed","Thu","Fri","Sat","Sun"))</f>
        <v>Sat</v>
      </c>
      <c r="K5" s="104" t="n">
        <f aca="false">IF(ISNA(VLOOKUP(WEEKDAY(I5,2),val_arr,HLOOKUP(I5,date_arr,2))),"",VLOOKUP(WEEKDAY(I5,2),val_arr,HLOOKUP(I5,date_arr,2)))</f>
        <v>100</v>
      </c>
      <c r="L5" s="105" t="n">
        <f aca="false">0+61-0</f>
        <v>61</v>
      </c>
      <c r="M5" s="106" t="n">
        <v>0</v>
      </c>
      <c r="N5" s="107" t="n">
        <f aca="false">IF(L5="","",K5-L5)</f>
        <v>39</v>
      </c>
      <c r="O5" s="101" t="n">
        <v>2</v>
      </c>
      <c r="P5" s="102" t="n">
        <v>45083</v>
      </c>
      <c r="Q5" s="103" t="str">
        <f aca="false">IF(P5="","",CHOOSE(WEEKDAY(P5,2),"Mon","Tue","Wed","Thu","Fri","Sat","Sun"))</f>
        <v>Tue</v>
      </c>
      <c r="R5" s="104" t="n">
        <f aca="false">IF(ISNA(VLOOKUP(WEEKDAY(P5,2),val_arr,HLOOKUP(P5,date_arr,2))),"",VLOOKUP(WEEKDAY(P5,2),val_arr,HLOOKUP(P5,date_arr,2)))</f>
        <v>100</v>
      </c>
      <c r="S5" s="105" t="n">
        <f aca="false">0+20+16+28</f>
        <v>64</v>
      </c>
      <c r="T5" s="106" t="n">
        <v>0</v>
      </c>
      <c r="U5" s="107" t="n">
        <f aca="false">IF(S5="","",R5-S5)</f>
        <v>36</v>
      </c>
      <c r="V5" s="101" t="n">
        <v>2</v>
      </c>
      <c r="W5" s="102" t="n">
        <v>45113</v>
      </c>
      <c r="X5" s="103" t="str">
        <f aca="false">IF(W5="","",CHOOSE(WEEKDAY(W5,2),"Mon","Tue","Wed","Thu","Fri","Sat","Sun"))</f>
        <v>Thu</v>
      </c>
      <c r="Y5" s="104" t="n">
        <f aca="false">IF(ISNA(VLOOKUP(WEEKDAY(W5,2),val_arr,HLOOKUP(W5,date_arr,2))),"",VLOOKUP(WEEKDAY(W5,2),val_arr,HLOOKUP(W5,date_arr,2)))</f>
        <v>100</v>
      </c>
      <c r="Z5" s="105" t="n">
        <f aca="false">0+42+13</f>
        <v>55</v>
      </c>
      <c r="AA5" s="106" t="n">
        <v>0</v>
      </c>
      <c r="AB5" s="107" t="n">
        <f aca="false">IF(Z5="","",Y5-Z5)</f>
        <v>45</v>
      </c>
      <c r="AC5" s="101" t="n">
        <v>2</v>
      </c>
      <c r="AD5" s="102" t="n">
        <v>45144</v>
      </c>
      <c r="AE5" s="103" t="str">
        <f aca="false">IF(AD5="","",CHOOSE(WEEKDAY(AD5,2),"Mon","Tue","Wed","Thu","Fri","Sat","Sun"))</f>
        <v>Sun</v>
      </c>
      <c r="AF5" s="104" t="n">
        <f aca="false">IF(ISNA(VLOOKUP(WEEKDAY(AD5,2),val_arr,HLOOKUP(AD5,date_arr,2))),"",VLOOKUP(WEEKDAY(AD5,2),val_arr,HLOOKUP(AD5,date_arr,2)))</f>
        <v>100</v>
      </c>
      <c r="AG5" s="105" t="n">
        <f aca="false">0+42+24</f>
        <v>66</v>
      </c>
      <c r="AH5" s="106" t="n">
        <v>0</v>
      </c>
      <c r="AI5" s="107" t="n">
        <f aca="false">IF(AG5="","",AF5-AG5)</f>
        <v>34</v>
      </c>
      <c r="AJ5" s="101" t="n">
        <v>2</v>
      </c>
      <c r="AK5" s="102" t="n">
        <v>45175</v>
      </c>
      <c r="AL5" s="103" t="str">
        <f aca="false">IF(AK5="","",CHOOSE(WEEKDAY(AK5,2),"Mon","Tue","Wed","Thu","Fri","Sat","Sun"))</f>
        <v>Wed</v>
      </c>
      <c r="AM5" s="104" t="n">
        <f aca="false">IF(ISNA(VLOOKUP(WEEKDAY(AK5,2),val_arr,HLOOKUP(AK5,date_arr,2))),"",VLOOKUP(WEEKDAY(AK5,2),val_arr,HLOOKUP(AK5,date_arr,2)))</f>
        <v>100</v>
      </c>
      <c r="AN5" s="105"/>
      <c r="AO5" s="108"/>
      <c r="AP5" s="107" t="str">
        <f aca="false">IF(AN5="","",AM5-AN5)</f>
        <v/>
      </c>
      <c r="AQ5" s="101" t="n">
        <v>2</v>
      </c>
      <c r="AR5" s="102" t="n">
        <v>45205</v>
      </c>
      <c r="AS5" s="103" t="str">
        <f aca="false">IF(AR5="","",CHOOSE(WEEKDAY(AR5,2),"Mon","Tue","Wed","Thu","Fri","Sat","Sun"))</f>
        <v>Fri</v>
      </c>
      <c r="AT5" s="104" t="n">
        <f aca="false">IF(ISNA(VLOOKUP(WEEKDAY(AR5,2),val_arr,HLOOKUP(AR5,date_arr,2))),"",VLOOKUP(WEEKDAY(AR5,2),val_arr,HLOOKUP(AR5,date_arr,2)))</f>
        <v>100</v>
      </c>
      <c r="AU5" s="105"/>
      <c r="AV5" s="108"/>
      <c r="AW5" s="107" t="str">
        <f aca="false">IF(AU5="","",AT5-AU5)</f>
        <v/>
      </c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" hidden="false" customHeight="true" outlineLevel="0" collapsed="false">
      <c r="A6" s="101" t="n">
        <v>3</v>
      </c>
      <c r="B6" s="102" t="n">
        <v>45023</v>
      </c>
      <c r="C6" s="103" t="str">
        <f aca="false">IF(B6="","",CHOOSE(WEEKDAY(B6,2),"Mon","Tue","Wed","Thu","Fri","Sat","Sun"))</f>
        <v>Fri</v>
      </c>
      <c r="D6" s="104" t="n">
        <f aca="false">IF(ISNA(VLOOKUP(WEEKDAY(B6,2),val_arr,HLOOKUP(B6,date_arr,2))),"",VLOOKUP(WEEKDAY(B6,2),val_arr,HLOOKUP(B6,date_arr,2)))</f>
        <v>100</v>
      </c>
      <c r="E6" s="105" t="n">
        <f aca="false">0+65-0</f>
        <v>65</v>
      </c>
      <c r="F6" s="106" t="n">
        <v>0</v>
      </c>
      <c r="G6" s="107" t="n">
        <f aca="false">IF(E6="","",D6-E6)</f>
        <v>35</v>
      </c>
      <c r="H6" s="101" t="n">
        <v>3</v>
      </c>
      <c r="I6" s="102" t="n">
        <v>45053</v>
      </c>
      <c r="J6" s="103" t="str">
        <f aca="false">IF(I6="","",CHOOSE(WEEKDAY(I6,2),"Mon","Tue","Wed","Thu","Fri","Sat","Sun"))</f>
        <v>Sun</v>
      </c>
      <c r="K6" s="104" t="n">
        <f aca="false">IF(ISNA(VLOOKUP(WEEKDAY(I6,2),val_arr,HLOOKUP(I6,date_arr,2))),"",VLOOKUP(WEEKDAY(I6,2),val_arr,HLOOKUP(I6,date_arr,2)))</f>
        <v>100</v>
      </c>
      <c r="L6" s="105" t="n">
        <f aca="false">0+80-0-22</f>
        <v>58</v>
      </c>
      <c r="M6" s="106" t="n">
        <v>0</v>
      </c>
      <c r="N6" s="107" t="n">
        <f aca="false">IF(L6="","",K6-L6)</f>
        <v>42</v>
      </c>
      <c r="O6" s="101" t="n">
        <v>3</v>
      </c>
      <c r="P6" s="102" t="n">
        <v>45084</v>
      </c>
      <c r="Q6" s="103" t="str">
        <f aca="false">IF(P6="","",CHOOSE(WEEKDAY(P6,2),"Mon","Tue","Wed","Thu","Fri","Sat","Sun"))</f>
        <v>Wed</v>
      </c>
      <c r="R6" s="104" t="n">
        <f aca="false">IF(ISNA(VLOOKUP(WEEKDAY(P6,2),val_arr,HLOOKUP(P6,date_arr,2))),"",VLOOKUP(WEEKDAY(P6,2),val_arr,HLOOKUP(P6,date_arr,2)))</f>
        <v>100</v>
      </c>
      <c r="S6" s="105" t="n">
        <f aca="false">0+40+33+11</f>
        <v>84</v>
      </c>
      <c r="T6" s="106" t="n">
        <v>0</v>
      </c>
      <c r="U6" s="107" t="n">
        <f aca="false">IF(S6="","",R6-S6)</f>
        <v>16</v>
      </c>
      <c r="V6" s="101" t="n">
        <v>3</v>
      </c>
      <c r="W6" s="102" t="n">
        <v>45114</v>
      </c>
      <c r="X6" s="103" t="str">
        <f aca="false">IF(W6="","",CHOOSE(WEEKDAY(W6,2),"Mon","Tue","Wed","Thu","Fri","Sat","Sun"))</f>
        <v>Fri</v>
      </c>
      <c r="Y6" s="104" t="n">
        <f aca="false">IF(ISNA(VLOOKUP(WEEKDAY(W6,2),val_arr,HLOOKUP(W6,date_arr,2))),"",VLOOKUP(WEEKDAY(W6,2),val_arr,HLOOKUP(W6,date_arr,2)))</f>
        <v>100</v>
      </c>
      <c r="Z6" s="105" t="n">
        <f aca="false">0+42+24</f>
        <v>66</v>
      </c>
      <c r="AA6" s="106" t="n">
        <v>0</v>
      </c>
      <c r="AB6" s="107" t="n">
        <f aca="false">IF(Z6="","",Y6-Z6)</f>
        <v>34</v>
      </c>
      <c r="AC6" s="101" t="n">
        <v>3</v>
      </c>
      <c r="AD6" s="102" t="n">
        <v>45145</v>
      </c>
      <c r="AE6" s="103" t="str">
        <f aca="false">IF(AD6="","",CHOOSE(WEEKDAY(AD6,2),"Mon","Tue","Wed","Thu","Fri","Sat","Sun"))</f>
        <v>Mon</v>
      </c>
      <c r="AF6" s="104" t="n">
        <f aca="false">IF(ISNA(VLOOKUP(WEEKDAY(AD6,2),val_arr,HLOOKUP(AD6,date_arr,2))),"",VLOOKUP(WEEKDAY(AD6,2),val_arr,HLOOKUP(AD6,date_arr,2)))</f>
        <v>100</v>
      </c>
      <c r="AG6" s="105" t="n">
        <f aca="false">0+54+16+12</f>
        <v>82</v>
      </c>
      <c r="AH6" s="106" t="n">
        <v>0</v>
      </c>
      <c r="AI6" s="107" t="n">
        <f aca="false">IF(AG6="","",AF6-AG6)</f>
        <v>18</v>
      </c>
      <c r="AJ6" s="101" t="n">
        <v>3</v>
      </c>
      <c r="AK6" s="102" t="n">
        <v>45176</v>
      </c>
      <c r="AL6" s="103" t="str">
        <f aca="false">IF(AK6="","",CHOOSE(WEEKDAY(AK6,2),"Mon","Tue","Wed","Thu","Fri","Sat","Sun"))</f>
        <v>Thu</v>
      </c>
      <c r="AM6" s="104" t="n">
        <f aca="false">IF(ISNA(VLOOKUP(WEEKDAY(AK6,2),val_arr,HLOOKUP(AK6,date_arr,2))),"",VLOOKUP(WEEKDAY(AK6,2),val_arr,HLOOKUP(AK6,date_arr,2)))</f>
        <v>100</v>
      </c>
      <c r="AN6" s="105"/>
      <c r="AO6" s="108"/>
      <c r="AP6" s="107" t="str">
        <f aca="false">IF(AN6="","",AM6-AN6)</f>
        <v/>
      </c>
      <c r="AQ6" s="101" t="n">
        <v>3</v>
      </c>
      <c r="AR6" s="102" t="n">
        <v>45206</v>
      </c>
      <c r="AS6" s="103" t="str">
        <f aca="false">IF(AR6="","",CHOOSE(WEEKDAY(AR6,2),"Mon","Tue","Wed","Thu","Fri","Sat","Sun"))</f>
        <v>Sat</v>
      </c>
      <c r="AT6" s="104" t="n">
        <f aca="false">IF(ISNA(VLOOKUP(WEEKDAY(AR6,2),val_arr,HLOOKUP(AR6,date_arr,2))),"",VLOOKUP(WEEKDAY(AR6,2),val_arr,HLOOKUP(AR6,date_arr,2)))</f>
        <v>100</v>
      </c>
      <c r="AU6" s="105"/>
      <c r="AV6" s="108"/>
      <c r="AW6" s="107" t="str">
        <f aca="false">IF(AU6="","",AT6-AU6)</f>
        <v/>
      </c>
    </row>
    <row r="7" customFormat="false" ht="21" hidden="false" customHeight="true" outlineLevel="0" collapsed="false">
      <c r="A7" s="101" t="n">
        <v>4</v>
      </c>
      <c r="B7" s="102" t="n">
        <v>45024</v>
      </c>
      <c r="C7" s="103" t="str">
        <f aca="false">IF(B7="","",CHOOSE(WEEKDAY(B7,2),"Mon","Tue","Wed","Thu","Fri","Sat","Sun"))</f>
        <v>Sat</v>
      </c>
      <c r="D7" s="104" t="n">
        <f aca="false">IF(ISNA(VLOOKUP(WEEKDAY(B7,2),val_arr,HLOOKUP(B7,date_arr,2))),"",VLOOKUP(WEEKDAY(B7,2),val_arr,HLOOKUP(B7,date_arr,2)))</f>
        <v>100</v>
      </c>
      <c r="E7" s="105" t="n">
        <f aca="false">0+58-0</f>
        <v>58</v>
      </c>
      <c r="F7" s="106" t="n">
        <v>0</v>
      </c>
      <c r="G7" s="107" t="n">
        <f aca="false">IF(E7="","",D7-E7)</f>
        <v>42</v>
      </c>
      <c r="H7" s="101" t="n">
        <v>4</v>
      </c>
      <c r="I7" s="102" t="n">
        <v>45054</v>
      </c>
      <c r="J7" s="103" t="str">
        <f aca="false">IF(I7="","",CHOOSE(WEEKDAY(I7,2),"Mon","Tue","Wed","Thu","Fri","Sat","Sun"))</f>
        <v>Mon</v>
      </c>
      <c r="K7" s="104" t="n">
        <f aca="false">IF(ISNA(VLOOKUP(WEEKDAY(I7,2),val_arr,HLOOKUP(I7,date_arr,2))),"",VLOOKUP(WEEKDAY(I7,2),val_arr,HLOOKUP(I7,date_arr,2)))</f>
        <v>100</v>
      </c>
      <c r="L7" s="105" t="n">
        <f aca="false">0+62-0</f>
        <v>62</v>
      </c>
      <c r="M7" s="106" t="n">
        <v>0</v>
      </c>
      <c r="N7" s="107" t="n">
        <f aca="false">IF(L7="","",K7-L7)</f>
        <v>38</v>
      </c>
      <c r="O7" s="101" t="n">
        <v>4</v>
      </c>
      <c r="P7" s="102" t="n">
        <v>45085</v>
      </c>
      <c r="Q7" s="103" t="str">
        <f aca="false">IF(P7="","",CHOOSE(WEEKDAY(P7,2),"Mon","Tue","Wed","Thu","Fri","Sat","Sun"))</f>
        <v>Thu</v>
      </c>
      <c r="R7" s="104" t="n">
        <f aca="false">IF(ISNA(VLOOKUP(WEEKDAY(P7,2),val_arr,HLOOKUP(P7,date_arr,2))),"",VLOOKUP(WEEKDAY(P7,2),val_arr,HLOOKUP(P7,date_arr,2)))</f>
        <v>100</v>
      </c>
      <c r="S7" s="105" t="n">
        <f aca="false">0+40+26</f>
        <v>66</v>
      </c>
      <c r="T7" s="106" t="n">
        <v>0</v>
      </c>
      <c r="U7" s="107" t="n">
        <f aca="false">IF(S7="","",R7-S7)</f>
        <v>34</v>
      </c>
      <c r="V7" s="101" t="n">
        <v>4</v>
      </c>
      <c r="W7" s="102" t="n">
        <v>45115</v>
      </c>
      <c r="X7" s="103" t="str">
        <f aca="false">IF(W7="","",CHOOSE(WEEKDAY(W7,2),"Mon","Tue","Wed","Thu","Fri","Sat","Sun"))</f>
        <v>Sat</v>
      </c>
      <c r="Y7" s="104" t="n">
        <f aca="false">IF(ISNA(VLOOKUP(WEEKDAY(W7,2),val_arr,HLOOKUP(W7,date_arr,2))),"",VLOOKUP(WEEKDAY(W7,2),val_arr,HLOOKUP(W7,date_arr,2)))</f>
        <v>100</v>
      </c>
      <c r="Z7" s="105" t="n">
        <f aca="false">0+42+23</f>
        <v>65</v>
      </c>
      <c r="AA7" s="106" t="n">
        <v>0</v>
      </c>
      <c r="AB7" s="107" t="n">
        <f aca="false">IF(Z7="","",Y7-Z7)</f>
        <v>35</v>
      </c>
      <c r="AC7" s="101" t="n">
        <v>4</v>
      </c>
      <c r="AD7" s="102" t="n">
        <v>45146</v>
      </c>
      <c r="AE7" s="103" t="str">
        <f aca="false">IF(AD7="","",CHOOSE(WEEKDAY(AD7,2),"Mon","Tue","Wed","Thu","Fri","Sat","Sun"))</f>
        <v>Tue</v>
      </c>
      <c r="AF7" s="104" t="n">
        <f aca="false">IF(ISNA(VLOOKUP(WEEKDAY(AD7,2),val_arr,HLOOKUP(AD7,date_arr,2))),"",VLOOKUP(WEEKDAY(AD7,2),val_arr,HLOOKUP(AD7,date_arr,2)))</f>
        <v>100</v>
      </c>
      <c r="AG7" s="105" t="n">
        <f aca="false">0+42+35</f>
        <v>77</v>
      </c>
      <c r="AH7" s="106" t="n">
        <v>0</v>
      </c>
      <c r="AI7" s="107" t="n">
        <f aca="false">IF(AG7="","",AF7-AG7)</f>
        <v>23</v>
      </c>
      <c r="AJ7" s="101" t="n">
        <v>4</v>
      </c>
      <c r="AK7" s="102" t="n">
        <v>45177</v>
      </c>
      <c r="AL7" s="103" t="str">
        <f aca="false">IF(AK7="","",CHOOSE(WEEKDAY(AK7,2),"Mon","Tue","Wed","Thu","Fri","Sat","Sun"))</f>
        <v>Fri</v>
      </c>
      <c r="AM7" s="104" t="n">
        <f aca="false">IF(ISNA(VLOOKUP(WEEKDAY(AK7,2),val_arr,HLOOKUP(AK7,date_arr,2))),"",VLOOKUP(WEEKDAY(AK7,2),val_arr,HLOOKUP(AK7,date_arr,2)))</f>
        <v>100</v>
      </c>
      <c r="AN7" s="105"/>
      <c r="AO7" s="106"/>
      <c r="AP7" s="107" t="str">
        <f aca="false">IF(AN7="","",AM7-AN7)</f>
        <v/>
      </c>
      <c r="AQ7" s="101" t="n">
        <v>4</v>
      </c>
      <c r="AR7" s="102" t="n">
        <v>45207</v>
      </c>
      <c r="AS7" s="103" t="str">
        <f aca="false">IF(AR7="","",CHOOSE(WEEKDAY(AR7,2),"Mon","Tue","Wed","Thu","Fri","Sat","Sun"))</f>
        <v>Sun</v>
      </c>
      <c r="AT7" s="104" t="n">
        <f aca="false">IF(ISNA(VLOOKUP(WEEKDAY(AR7,2),val_arr,HLOOKUP(AR7,date_arr,2))),"",VLOOKUP(WEEKDAY(AR7,2),val_arr,HLOOKUP(AR7,date_arr,2)))</f>
        <v>100</v>
      </c>
      <c r="AU7" s="105"/>
      <c r="AV7" s="106"/>
      <c r="AW7" s="107" t="str">
        <f aca="false">IF(AU7="","",AT7-AU7)</f>
        <v/>
      </c>
    </row>
    <row r="8" customFormat="false" ht="21" hidden="false" customHeight="true" outlineLevel="0" collapsed="false">
      <c r="A8" s="101" t="n">
        <v>5</v>
      </c>
      <c r="B8" s="102" t="n">
        <v>45025</v>
      </c>
      <c r="C8" s="103" t="str">
        <f aca="false">IF(B8="","",CHOOSE(WEEKDAY(B8,2),"Mon","Tue","Wed","Thu","Fri","Sat","Sun"))</f>
        <v>Sun</v>
      </c>
      <c r="D8" s="104" t="n">
        <f aca="false">IF(ISNA(VLOOKUP(WEEKDAY(B8,2),val_arr,HLOOKUP(B8,date_arr,2))),"",VLOOKUP(WEEKDAY(B8,2),val_arr,HLOOKUP(B8,date_arr,2)))</f>
        <v>100</v>
      </c>
      <c r="E8" s="105" t="n">
        <f aca="false">0+61-0</f>
        <v>61</v>
      </c>
      <c r="F8" s="106" t="n">
        <v>0</v>
      </c>
      <c r="G8" s="107" t="n">
        <f aca="false">IF(E8="","",D8-E8)</f>
        <v>39</v>
      </c>
      <c r="H8" s="101" t="n">
        <v>5</v>
      </c>
      <c r="I8" s="102" t="n">
        <v>45055</v>
      </c>
      <c r="J8" s="103" t="str">
        <f aca="false">IF(I8="","",CHOOSE(WEEKDAY(I8,2),"Mon","Tue","Wed","Thu","Fri","Sat","Sun"))</f>
        <v>Tue</v>
      </c>
      <c r="K8" s="104" t="n">
        <f aca="false">IF(ISNA(VLOOKUP(WEEKDAY(I8,2),val_arr,HLOOKUP(I8,date_arr,2))),"",VLOOKUP(WEEKDAY(I8,2),val_arr,HLOOKUP(I8,date_arr,2)))</f>
        <v>100</v>
      </c>
      <c r="L8" s="105" t="n">
        <f aca="false">0+60-0</f>
        <v>60</v>
      </c>
      <c r="M8" s="106" t="n">
        <v>0</v>
      </c>
      <c r="N8" s="107" t="n">
        <f aca="false">IF(L8="","",K8-L8)</f>
        <v>40</v>
      </c>
      <c r="O8" s="101" t="n">
        <v>5</v>
      </c>
      <c r="P8" s="102" t="n">
        <v>45086</v>
      </c>
      <c r="Q8" s="103" t="str">
        <f aca="false">IF(P8="","",CHOOSE(WEEKDAY(P8,2),"Mon","Tue","Wed","Thu","Fri","Sat","Sun"))</f>
        <v>Fri</v>
      </c>
      <c r="R8" s="104" t="n">
        <f aca="false">IF(ISNA(VLOOKUP(WEEKDAY(P8,2),val_arr,HLOOKUP(P8,date_arr,2))),"",VLOOKUP(WEEKDAY(P8,2),val_arr,HLOOKUP(P8,date_arr,2)))</f>
        <v>100</v>
      </c>
      <c r="S8" s="105" t="n">
        <f aca="false">0+40+22</f>
        <v>62</v>
      </c>
      <c r="T8" s="106" t="n">
        <v>0</v>
      </c>
      <c r="U8" s="107" t="n">
        <f aca="false">IF(S8="","",R8-S8)</f>
        <v>38</v>
      </c>
      <c r="V8" s="101" t="n">
        <v>5</v>
      </c>
      <c r="W8" s="102" t="n">
        <v>45116</v>
      </c>
      <c r="X8" s="103" t="str">
        <f aca="false">IF(W8="","",CHOOSE(WEEKDAY(W8,2),"Mon","Tue","Wed","Thu","Fri","Sat","Sun"))</f>
        <v>Sun</v>
      </c>
      <c r="Y8" s="104" t="n">
        <f aca="false">IF(ISNA(VLOOKUP(WEEKDAY(W8,2),val_arr,HLOOKUP(W8,date_arr,2))),"",VLOOKUP(WEEKDAY(W8,2),val_arr,HLOOKUP(W8,date_arr,2)))</f>
        <v>100</v>
      </c>
      <c r="Z8" s="105" t="n">
        <f aca="false">0+21+15</f>
        <v>36</v>
      </c>
      <c r="AA8" s="106" t="n">
        <v>0</v>
      </c>
      <c r="AB8" s="107" t="n">
        <f aca="false">IF(Z8="","",Y8-Z8)</f>
        <v>64</v>
      </c>
      <c r="AC8" s="101" t="n">
        <v>5</v>
      </c>
      <c r="AD8" s="102" t="n">
        <v>45147</v>
      </c>
      <c r="AE8" s="103" t="str">
        <f aca="false">IF(AD8="","",CHOOSE(WEEKDAY(AD8,2),"Mon","Tue","Wed","Thu","Fri","Sat","Sun"))</f>
        <v>Wed</v>
      </c>
      <c r="AF8" s="104" t="n">
        <f aca="false">IF(ISNA(VLOOKUP(WEEKDAY(AD8,2),val_arr,HLOOKUP(AD8,date_arr,2))),"",VLOOKUP(WEEKDAY(AD8,2),val_arr,HLOOKUP(AD8,date_arr,2)))</f>
        <v>100</v>
      </c>
      <c r="AG8" s="105" t="n">
        <f aca="false">0+42</f>
        <v>42</v>
      </c>
      <c r="AH8" s="106" t="n">
        <v>0</v>
      </c>
      <c r="AI8" s="107" t="n">
        <f aca="false">IF(AG8="","",AF8-AG8)</f>
        <v>58</v>
      </c>
      <c r="AJ8" s="101" t="n">
        <v>5</v>
      </c>
      <c r="AK8" s="102" t="n">
        <v>45178</v>
      </c>
      <c r="AL8" s="103" t="str">
        <f aca="false">IF(AK8="","",CHOOSE(WEEKDAY(AK8,2),"Mon","Tue","Wed","Thu","Fri","Sat","Sun"))</f>
        <v>Sat</v>
      </c>
      <c r="AM8" s="104" t="n">
        <f aca="false">IF(ISNA(VLOOKUP(WEEKDAY(AK8,2),val_arr,HLOOKUP(AK8,date_arr,2))),"",VLOOKUP(WEEKDAY(AK8,2),val_arr,HLOOKUP(AK8,date_arr,2)))</f>
        <v>100</v>
      </c>
      <c r="AN8" s="105"/>
      <c r="AO8" s="106"/>
      <c r="AP8" s="107" t="str">
        <f aca="false">IF(AN8="","",AM8-AN8)</f>
        <v/>
      </c>
      <c r="AQ8" s="101" t="n">
        <v>5</v>
      </c>
      <c r="AR8" s="102" t="n">
        <v>45208</v>
      </c>
      <c r="AS8" s="103" t="str">
        <f aca="false">IF(AR8="","",CHOOSE(WEEKDAY(AR8,2),"Mon","Tue","Wed","Thu","Fri","Sat","Sun"))</f>
        <v>Mon</v>
      </c>
      <c r="AT8" s="104" t="n">
        <f aca="false">IF(ISNA(VLOOKUP(WEEKDAY(AR8,2),val_arr,HLOOKUP(AR8,date_arr,2))),"",VLOOKUP(WEEKDAY(AR8,2),val_arr,HLOOKUP(AR8,date_arr,2)))</f>
        <v>100</v>
      </c>
      <c r="AU8" s="105"/>
      <c r="AV8" s="106"/>
      <c r="AW8" s="107" t="str">
        <f aca="false">IF(AU8="","",AT8-AU8)</f>
        <v/>
      </c>
    </row>
    <row r="9" customFormat="false" ht="21" hidden="false" customHeight="true" outlineLevel="0" collapsed="false">
      <c r="A9" s="101" t="n">
        <v>6</v>
      </c>
      <c r="B9" s="102" t="n">
        <v>45026</v>
      </c>
      <c r="C9" s="103" t="str">
        <f aca="false">IF(B9="","",CHOOSE(WEEKDAY(B9,2),"Mon","Tue","Wed","Thu","Fri","Sat","Sun"))</f>
        <v>Mon</v>
      </c>
      <c r="D9" s="104" t="n">
        <f aca="false">IF(ISNA(VLOOKUP(WEEKDAY(B9,2),val_arr,HLOOKUP(B9,date_arr,2))),"",VLOOKUP(WEEKDAY(B9,2),val_arr,HLOOKUP(B9,date_arr,2)))</f>
        <v>100</v>
      </c>
      <c r="E9" s="105" t="n">
        <f aca="false">0+59-0</f>
        <v>59</v>
      </c>
      <c r="F9" s="106" t="n">
        <v>0</v>
      </c>
      <c r="G9" s="107" t="n">
        <f aca="false">IF(E9="","",D9-E9)</f>
        <v>41</v>
      </c>
      <c r="H9" s="101" t="n">
        <v>6</v>
      </c>
      <c r="I9" s="102" t="n">
        <v>45056</v>
      </c>
      <c r="J9" s="103" t="str">
        <f aca="false">IF(I9="","",CHOOSE(WEEKDAY(I9,2),"Mon","Tue","Wed","Thu","Fri","Sat","Sun"))</f>
        <v>Wed</v>
      </c>
      <c r="K9" s="104" t="n">
        <f aca="false">IF(ISNA(VLOOKUP(WEEKDAY(I9,2),val_arr,HLOOKUP(I9,date_arr,2))),"",VLOOKUP(WEEKDAY(I9,2),val_arr,HLOOKUP(I9,date_arr,2)))</f>
        <v>100</v>
      </c>
      <c r="L9" s="105" t="n">
        <f aca="false">0+58-0</f>
        <v>58</v>
      </c>
      <c r="M9" s="106" t="n">
        <v>0</v>
      </c>
      <c r="N9" s="107" t="n">
        <f aca="false">IF(L9="","",K9-L9)</f>
        <v>42</v>
      </c>
      <c r="O9" s="101" t="n">
        <v>6</v>
      </c>
      <c r="P9" s="102" t="n">
        <v>45087</v>
      </c>
      <c r="Q9" s="103" t="str">
        <f aca="false">IF(P9="","",CHOOSE(WEEKDAY(P9,2),"Mon","Tue","Wed","Thu","Fri","Sat","Sun"))</f>
        <v>Sat</v>
      </c>
      <c r="R9" s="104" t="n">
        <f aca="false">IF(ISNA(VLOOKUP(WEEKDAY(P9,2),val_arr,HLOOKUP(P9,date_arr,2))),"",VLOOKUP(WEEKDAY(P9,2),val_arr,HLOOKUP(P9,date_arr,2)))</f>
        <v>100</v>
      </c>
      <c r="S9" s="105" t="n">
        <f aca="false">0+40+22</f>
        <v>62</v>
      </c>
      <c r="T9" s="106" t="n">
        <v>0</v>
      </c>
      <c r="U9" s="107" t="n">
        <f aca="false">IF(S9="","",R9-S9)</f>
        <v>38</v>
      </c>
      <c r="V9" s="101" t="n">
        <v>6</v>
      </c>
      <c r="W9" s="102" t="n">
        <v>45117</v>
      </c>
      <c r="X9" s="103" t="str">
        <f aca="false">IF(W9="","",CHOOSE(WEEKDAY(W9,2),"Mon","Tue","Wed","Thu","Fri","Sat","Sun"))</f>
        <v>Mon</v>
      </c>
      <c r="Y9" s="104" t="n">
        <f aca="false">IF(ISNA(VLOOKUP(WEEKDAY(W9,2),val_arr,HLOOKUP(W9,date_arr,2))),"",VLOOKUP(WEEKDAY(W9,2),val_arr,HLOOKUP(W9,date_arr,2)))</f>
        <v>100</v>
      </c>
      <c r="Z9" s="105" t="n">
        <f aca="false">0+42+34-34</f>
        <v>42</v>
      </c>
      <c r="AA9" s="106" t="n">
        <v>0</v>
      </c>
      <c r="AB9" s="107" t="n">
        <f aca="false">IF(Z9="","",Y9-Z9)</f>
        <v>58</v>
      </c>
      <c r="AC9" s="101" t="n">
        <v>6</v>
      </c>
      <c r="AD9" s="102" t="n">
        <v>45148</v>
      </c>
      <c r="AE9" s="103" t="str">
        <f aca="false">IF(AD9="","",CHOOSE(WEEKDAY(AD9,2),"Mon","Tue","Wed","Thu","Fri","Sat","Sun"))</f>
        <v>Thu</v>
      </c>
      <c r="AF9" s="104" t="n">
        <f aca="false">IF(ISNA(VLOOKUP(WEEKDAY(AD9,2),val_arr,HLOOKUP(AD9,date_arr,2))),"",VLOOKUP(WEEKDAY(AD9,2),val_arr,HLOOKUP(AD9,date_arr,2)))</f>
        <v>100</v>
      </c>
      <c r="AG9" s="105" t="n">
        <f aca="false">0+42</f>
        <v>42</v>
      </c>
      <c r="AH9" s="106" t="n">
        <v>0</v>
      </c>
      <c r="AI9" s="107" t="n">
        <f aca="false">IF(AG9="","",AF9-AG9)</f>
        <v>58</v>
      </c>
      <c r="AJ9" s="101" t="n">
        <v>6</v>
      </c>
      <c r="AK9" s="102" t="n">
        <v>45179</v>
      </c>
      <c r="AL9" s="103" t="str">
        <f aca="false">IF(AK9="","",CHOOSE(WEEKDAY(AK9,2),"Mon","Tue","Wed","Thu","Fri","Sat","Sun"))</f>
        <v>Sun</v>
      </c>
      <c r="AM9" s="104" t="n">
        <f aca="false">IF(ISNA(VLOOKUP(WEEKDAY(AK9,2),val_arr,HLOOKUP(AK9,date_arr,2))),"",VLOOKUP(WEEKDAY(AK9,2),val_arr,HLOOKUP(AK9,date_arr,2)))</f>
        <v>100</v>
      </c>
      <c r="AN9" s="105"/>
      <c r="AO9" s="106"/>
      <c r="AP9" s="107" t="str">
        <f aca="false">IF(AN9="","",AM9-AN9)</f>
        <v/>
      </c>
      <c r="AQ9" s="101" t="n">
        <v>6</v>
      </c>
      <c r="AR9" s="102" t="n">
        <v>45209</v>
      </c>
      <c r="AS9" s="103" t="str">
        <f aca="false">IF(AR9="","",CHOOSE(WEEKDAY(AR9,2),"Mon","Tue","Wed","Thu","Fri","Sat","Sun"))</f>
        <v>Tue</v>
      </c>
      <c r="AT9" s="104" t="n">
        <f aca="false">IF(ISNA(VLOOKUP(WEEKDAY(AR9,2),val_arr,HLOOKUP(AR9,date_arr,2))),"",VLOOKUP(WEEKDAY(AR9,2),val_arr,HLOOKUP(AR9,date_arr,2)))</f>
        <v>100</v>
      </c>
      <c r="AU9" s="105"/>
      <c r="AV9" s="106"/>
      <c r="AW9" s="107" t="str">
        <f aca="false">IF(AU9="","",AT9-AU9)</f>
        <v/>
      </c>
    </row>
    <row r="10" customFormat="false" ht="21" hidden="false" customHeight="true" outlineLevel="0" collapsed="false">
      <c r="A10" s="101" t="n">
        <v>7</v>
      </c>
      <c r="B10" s="102" t="n">
        <v>45027</v>
      </c>
      <c r="C10" s="103" t="str">
        <f aca="false">IF(B10="","",CHOOSE(WEEKDAY(B10,2),"Mon","Tue","Wed","Thu","Fri","Sat","Sun"))</f>
        <v>Tue</v>
      </c>
      <c r="D10" s="104" t="n">
        <f aca="false">IF(ISNA(VLOOKUP(WEEKDAY(B10,2),val_arr,HLOOKUP(B10,date_arr,2))),"",VLOOKUP(WEEKDAY(B10,2),val_arr,HLOOKUP(B10,date_arr,2)))</f>
        <v>100</v>
      </c>
      <c r="E10" s="105" t="n">
        <f aca="false">0+66</f>
        <v>66</v>
      </c>
      <c r="F10" s="109" t="n">
        <v>0</v>
      </c>
      <c r="G10" s="107" t="n">
        <f aca="false">IF(E10="","",D10-E10)</f>
        <v>34</v>
      </c>
      <c r="H10" s="101" t="n">
        <v>7</v>
      </c>
      <c r="I10" s="102" t="n">
        <v>45057</v>
      </c>
      <c r="J10" s="103" t="str">
        <f aca="false">IF(I10="","",CHOOSE(WEEKDAY(I10,2),"Mon","Tue","Wed","Thu","Fri","Sat","Sun"))</f>
        <v>Thu</v>
      </c>
      <c r="K10" s="104" t="n">
        <f aca="false">IF(ISNA(VLOOKUP(WEEKDAY(I10,2),val_arr,HLOOKUP(I10,date_arr,2))),"",VLOOKUP(WEEKDAY(I10,2),val_arr,HLOOKUP(I10,date_arr,2)))</f>
        <v>100</v>
      </c>
      <c r="L10" s="105" t="n">
        <f aca="false">0+61-0</f>
        <v>61</v>
      </c>
      <c r="M10" s="106" t="n">
        <v>0</v>
      </c>
      <c r="N10" s="107" t="n">
        <f aca="false">IF(L10="","",K10-L10)</f>
        <v>39</v>
      </c>
      <c r="O10" s="101" t="n">
        <v>7</v>
      </c>
      <c r="P10" s="102" t="n">
        <v>45088</v>
      </c>
      <c r="Q10" s="103" t="str">
        <f aca="false">IF(P10="","",CHOOSE(WEEKDAY(P10,2),"Mon","Tue","Wed","Thu","Fri","Sat","Sun"))</f>
        <v>Sun</v>
      </c>
      <c r="R10" s="104" t="n">
        <f aca="false">IF(ISNA(VLOOKUP(WEEKDAY(P10,2),val_arr,HLOOKUP(P10,date_arr,2))),"",VLOOKUP(WEEKDAY(P10,2),val_arr,HLOOKUP(P10,date_arr,2)))</f>
        <v>100</v>
      </c>
      <c r="S10" s="105" t="n">
        <f aca="false">0+40+19</f>
        <v>59</v>
      </c>
      <c r="T10" s="106" t="n">
        <v>0</v>
      </c>
      <c r="U10" s="107" t="n">
        <f aca="false">IF(S10="","",R10-S10)</f>
        <v>41</v>
      </c>
      <c r="V10" s="101" t="n">
        <v>7</v>
      </c>
      <c r="W10" s="102" t="n">
        <v>45118</v>
      </c>
      <c r="X10" s="103" t="str">
        <f aca="false">IF(W10="","",CHOOSE(WEEKDAY(W10,2),"Mon","Tue","Wed","Thu","Fri","Sat","Sun"))</f>
        <v>Tue</v>
      </c>
      <c r="Y10" s="104" t="n">
        <f aca="false">IF(ISNA(VLOOKUP(WEEKDAY(W10,2),val_arr,HLOOKUP(W10,date_arr,2))),"",VLOOKUP(WEEKDAY(W10,2),val_arr,HLOOKUP(W10,date_arr,2)))</f>
        <v>100</v>
      </c>
      <c r="Z10" s="105" t="n">
        <f aca="false">0+42+26</f>
        <v>68</v>
      </c>
      <c r="AA10" s="106" t="n">
        <v>0</v>
      </c>
      <c r="AB10" s="107" t="n">
        <f aca="false">IF(Z10="","",Y10-Z10)</f>
        <v>32</v>
      </c>
      <c r="AC10" s="101" t="n">
        <v>7</v>
      </c>
      <c r="AD10" s="102" t="n">
        <v>45149</v>
      </c>
      <c r="AE10" s="103" t="str">
        <f aca="false">IF(AD10="","",CHOOSE(WEEKDAY(AD10,2),"Mon","Tue","Wed","Thu","Fri","Sat","Sun"))</f>
        <v>Fri</v>
      </c>
      <c r="AF10" s="104" t="n">
        <f aca="false">IF(ISNA(VLOOKUP(WEEKDAY(AD10,2),val_arr,HLOOKUP(AD10,date_arr,2))),"",VLOOKUP(WEEKDAY(AD10,2),val_arr,HLOOKUP(AD10,date_arr,2)))</f>
        <v>100</v>
      </c>
      <c r="AG10" s="105" t="n">
        <f aca="false">0+42</f>
        <v>42</v>
      </c>
      <c r="AH10" s="106" t="s">
        <v>184</v>
      </c>
      <c r="AI10" s="107" t="n">
        <f aca="false">IF(AG10="","",AF10-AG10)</f>
        <v>58</v>
      </c>
      <c r="AJ10" s="101" t="n">
        <v>7</v>
      </c>
      <c r="AK10" s="102" t="n">
        <v>45180</v>
      </c>
      <c r="AL10" s="103" t="str">
        <f aca="false">IF(AK10="","",CHOOSE(WEEKDAY(AK10,2),"Mon","Tue","Wed","Thu","Fri","Sat","Sun"))</f>
        <v>Mon</v>
      </c>
      <c r="AM10" s="104" t="n">
        <f aca="false">IF(ISNA(VLOOKUP(WEEKDAY(AK10,2),val_arr,HLOOKUP(AK10,date_arr,2))),"",VLOOKUP(WEEKDAY(AK10,2),val_arr,HLOOKUP(AK10,date_arr,2)))</f>
        <v>100</v>
      </c>
      <c r="AN10" s="105"/>
      <c r="AO10" s="106"/>
      <c r="AP10" s="107" t="str">
        <f aca="false">IF(AN10="","",AM10-AN10)</f>
        <v/>
      </c>
      <c r="AQ10" s="101" t="n">
        <v>7</v>
      </c>
      <c r="AR10" s="102" t="n">
        <v>45210</v>
      </c>
      <c r="AS10" s="103" t="str">
        <f aca="false">IF(AR10="","",CHOOSE(WEEKDAY(AR10,2),"Mon","Tue","Wed","Thu","Fri","Sat","Sun"))</f>
        <v>Wed</v>
      </c>
      <c r="AT10" s="104" t="n">
        <f aca="false">IF(ISNA(VLOOKUP(WEEKDAY(AR10,2),val_arr,HLOOKUP(AR10,date_arr,2))),"",VLOOKUP(WEEKDAY(AR10,2),val_arr,HLOOKUP(AR10,date_arr,2)))</f>
        <v>100</v>
      </c>
      <c r="AU10" s="105"/>
      <c r="AV10" s="106"/>
      <c r="AW10" s="107" t="str">
        <f aca="false">IF(AU10="","",AT10-AU10)</f>
        <v/>
      </c>
    </row>
    <row r="11" customFormat="false" ht="21" hidden="false" customHeight="true" outlineLevel="0" collapsed="false">
      <c r="A11" s="101" t="n">
        <v>8</v>
      </c>
      <c r="B11" s="102" t="n">
        <v>45028</v>
      </c>
      <c r="C11" s="103" t="str">
        <f aca="false">IF(B11="","",CHOOSE(WEEKDAY(B11,2),"Mon","Tue","Wed","Thu","Fri","Sat","Sun"))</f>
        <v>Wed</v>
      </c>
      <c r="D11" s="104" t="n">
        <f aca="false">IF(ISNA(VLOOKUP(WEEKDAY(B11,2),val_arr,HLOOKUP(B11,date_arr,2))),"",VLOOKUP(WEEKDAY(B11,2),val_arr,HLOOKUP(B11,date_arr,2)))</f>
        <v>100</v>
      </c>
      <c r="E11" s="105" t="n">
        <f aca="false">-0+43-0</f>
        <v>43</v>
      </c>
      <c r="F11" s="109" t="n">
        <v>0</v>
      </c>
      <c r="G11" s="107" t="n">
        <f aca="false">IF(E11="","",D11-E11)</f>
        <v>57</v>
      </c>
      <c r="H11" s="101" t="n">
        <v>8</v>
      </c>
      <c r="I11" s="102" t="n">
        <v>45058</v>
      </c>
      <c r="J11" s="103" t="str">
        <f aca="false">IF(I11="","",CHOOSE(WEEKDAY(I11,2),"Mon","Tue","Wed","Thu","Fri","Sat","Sun"))</f>
        <v>Fri</v>
      </c>
      <c r="K11" s="104" t="n">
        <f aca="false">IF(ISNA(VLOOKUP(WEEKDAY(I11,2),val_arr,HLOOKUP(I11,date_arr,2))),"",VLOOKUP(WEEKDAY(I11,2),val_arr,HLOOKUP(I11,date_arr,2)))</f>
        <v>100</v>
      </c>
      <c r="L11" s="105" t="n">
        <f aca="false">0+56-0</f>
        <v>56</v>
      </c>
      <c r="M11" s="106" t="n">
        <v>0</v>
      </c>
      <c r="N11" s="107" t="n">
        <f aca="false">IF(L11="","",K11-L11)</f>
        <v>44</v>
      </c>
      <c r="O11" s="101" t="n">
        <v>8</v>
      </c>
      <c r="P11" s="102" t="n">
        <v>45089</v>
      </c>
      <c r="Q11" s="103" t="str">
        <f aca="false">IF(P11="","",CHOOSE(WEEKDAY(P11,2),"Mon","Tue","Wed","Thu","Fri","Sat","Sun"))</f>
        <v>Mon</v>
      </c>
      <c r="R11" s="104" t="n">
        <f aca="false">IF(ISNA(VLOOKUP(WEEKDAY(P11,2),val_arr,HLOOKUP(P11,date_arr,2))),"",VLOOKUP(WEEKDAY(P11,2),val_arr,HLOOKUP(P11,date_arr,2)))</f>
        <v>100</v>
      </c>
      <c r="S11" s="105" t="n">
        <f aca="false">0+40+19</f>
        <v>59</v>
      </c>
      <c r="T11" s="106" t="n">
        <v>0</v>
      </c>
      <c r="U11" s="107" t="n">
        <f aca="false">IF(S11="","",R11-S11)</f>
        <v>41</v>
      </c>
      <c r="V11" s="101" t="n">
        <v>8</v>
      </c>
      <c r="W11" s="102" t="n">
        <v>45119</v>
      </c>
      <c r="X11" s="103" t="str">
        <f aca="false">IF(W11="","",CHOOSE(WEEKDAY(W11,2),"Mon","Tue","Wed","Thu","Fri","Sat","Sun"))</f>
        <v>Wed</v>
      </c>
      <c r="Y11" s="104" t="n">
        <f aca="false">IF(ISNA(VLOOKUP(WEEKDAY(W11,2),val_arr,HLOOKUP(W11,date_arr,2))),"",VLOOKUP(WEEKDAY(W11,2),val_arr,HLOOKUP(W11,date_arr,2)))</f>
        <v>100</v>
      </c>
      <c r="Z11" s="105" t="n">
        <f aca="false">0+42+20</f>
        <v>62</v>
      </c>
      <c r="AA11" s="106" t="n">
        <v>0</v>
      </c>
      <c r="AB11" s="107" t="n">
        <f aca="false">IF(Z11="","",Y11-Z11)</f>
        <v>38</v>
      </c>
      <c r="AC11" s="101" t="n">
        <v>8</v>
      </c>
      <c r="AD11" s="102" t="n">
        <v>45150</v>
      </c>
      <c r="AE11" s="103" t="str">
        <f aca="false">IF(AD11="","",CHOOSE(WEEKDAY(AD11,2),"Mon","Tue","Wed","Thu","Fri","Sat","Sun"))</f>
        <v>Sat</v>
      </c>
      <c r="AF11" s="104" t="n">
        <f aca="false">IF(ISNA(VLOOKUP(WEEKDAY(AD11,2),val_arr,HLOOKUP(AD11,date_arr,2))),"",VLOOKUP(WEEKDAY(AD11,2),val_arr,HLOOKUP(AD11,date_arr,2)))</f>
        <v>100</v>
      </c>
      <c r="AG11" s="105"/>
      <c r="AH11" s="106" t="s">
        <v>185</v>
      </c>
      <c r="AI11" s="107" t="str">
        <f aca="false">IF(AG11="","",AF11-AG11)</f>
        <v/>
      </c>
      <c r="AJ11" s="101" t="n">
        <v>8</v>
      </c>
      <c r="AK11" s="102" t="n">
        <v>45181</v>
      </c>
      <c r="AL11" s="103" t="str">
        <f aca="false">IF(AK11="","",CHOOSE(WEEKDAY(AK11,2),"Mon","Tue","Wed","Thu","Fri","Sat","Sun"))</f>
        <v>Tue</v>
      </c>
      <c r="AM11" s="104" t="n">
        <f aca="false">IF(ISNA(VLOOKUP(WEEKDAY(AK11,2),val_arr,HLOOKUP(AK11,date_arr,2))),"",VLOOKUP(WEEKDAY(AK11,2),val_arr,HLOOKUP(AK11,date_arr,2)))</f>
        <v>100</v>
      </c>
      <c r="AN11" s="105"/>
      <c r="AO11" s="106" t="s">
        <v>186</v>
      </c>
      <c r="AP11" s="107" t="str">
        <f aca="false">IF(AN11="","",AM11-AN11)</f>
        <v/>
      </c>
      <c r="AQ11" s="101" t="n">
        <v>8</v>
      </c>
      <c r="AR11" s="102" t="n">
        <v>45211</v>
      </c>
      <c r="AS11" s="103" t="str">
        <f aca="false">IF(AR11="","",CHOOSE(WEEKDAY(AR11,2),"Mon","Tue","Wed","Thu","Fri","Sat","Sun"))</f>
        <v>Thu</v>
      </c>
      <c r="AT11" s="104" t="n">
        <f aca="false">IF(ISNA(VLOOKUP(WEEKDAY(AR11,2),val_arr,HLOOKUP(AR11,date_arr,2))),"",VLOOKUP(WEEKDAY(AR11,2),val_arr,HLOOKUP(AR11,date_arr,2)))</f>
        <v>100</v>
      </c>
      <c r="AU11" s="105"/>
      <c r="AV11" s="106" t="s">
        <v>158</v>
      </c>
      <c r="AW11" s="107" t="str">
        <f aca="false">IF(AU11="","",AT11-AU11)</f>
        <v/>
      </c>
    </row>
    <row r="12" customFormat="false" ht="21" hidden="false" customHeight="true" outlineLevel="0" collapsed="false">
      <c r="A12" s="101" t="n">
        <v>9</v>
      </c>
      <c r="B12" s="102" t="n">
        <v>45029</v>
      </c>
      <c r="C12" s="103" t="str">
        <f aca="false">IF(B12="","",CHOOSE(WEEKDAY(B12,2),"Mon","Tue","Wed","Thu","Fri","Sat","Sun"))</f>
        <v>Thu</v>
      </c>
      <c r="D12" s="104" t="n">
        <f aca="false">IF(ISNA(VLOOKUP(WEEKDAY(B12,2),val_arr,HLOOKUP(B12,date_arr,2))),"",VLOOKUP(WEEKDAY(B12,2),val_arr,HLOOKUP(B12,date_arr,2)))</f>
        <v>100</v>
      </c>
      <c r="E12" s="105" t="n">
        <f aca="false">0+54-0</f>
        <v>54</v>
      </c>
      <c r="F12" s="106" t="n">
        <v>0</v>
      </c>
      <c r="G12" s="107" t="n">
        <f aca="false">IF(E12="","",D12-E12)</f>
        <v>46</v>
      </c>
      <c r="H12" s="101" t="n">
        <v>9</v>
      </c>
      <c r="I12" s="102" t="n">
        <v>45059</v>
      </c>
      <c r="J12" s="103" t="str">
        <f aca="false">IF(I12="","",CHOOSE(WEEKDAY(I12,2),"Mon","Tue","Wed","Thu","Fri","Sat","Sun"))</f>
        <v>Sat</v>
      </c>
      <c r="K12" s="104" t="n">
        <f aca="false">IF(ISNA(VLOOKUP(WEEKDAY(I12,2),val_arr,HLOOKUP(I12,date_arr,2))),"",VLOOKUP(WEEKDAY(I12,2),val_arr,HLOOKUP(I12,date_arr,2)))</f>
        <v>100</v>
      </c>
      <c r="L12" s="105" t="n">
        <f aca="false">0+20+17-0</f>
        <v>37</v>
      </c>
      <c r="M12" s="106" t="n">
        <v>0</v>
      </c>
      <c r="N12" s="107" t="n">
        <f aca="false">IF(L12="","",K12-L12)</f>
        <v>63</v>
      </c>
      <c r="O12" s="101" t="n">
        <v>9</v>
      </c>
      <c r="P12" s="102" t="n">
        <v>45090</v>
      </c>
      <c r="Q12" s="103" t="str">
        <f aca="false">IF(P12="","",CHOOSE(WEEKDAY(P12,2),"Mon","Tue","Wed","Thu","Fri","Sat","Sun"))</f>
        <v>Tue</v>
      </c>
      <c r="R12" s="104" t="n">
        <f aca="false">IF(ISNA(VLOOKUP(WEEKDAY(P12,2),val_arr,HLOOKUP(P12,date_arr,2))),"",VLOOKUP(WEEKDAY(P12,2),val_arr,HLOOKUP(P12,date_arr,2)))</f>
        <v>100</v>
      </c>
      <c r="S12" s="105" t="n">
        <f aca="false">0+20+18</f>
        <v>38</v>
      </c>
      <c r="T12" s="106" t="n">
        <v>0</v>
      </c>
      <c r="U12" s="107" t="n">
        <f aca="false">IF(S12="","",R12-S12)</f>
        <v>62</v>
      </c>
      <c r="V12" s="101" t="n">
        <v>9</v>
      </c>
      <c r="W12" s="102" t="n">
        <v>45120</v>
      </c>
      <c r="X12" s="103" t="str">
        <f aca="false">IF(W12="","",CHOOSE(WEEKDAY(W12,2),"Mon","Tue","Wed","Thu","Fri","Sat","Sun"))</f>
        <v>Thu</v>
      </c>
      <c r="Y12" s="104" t="n">
        <f aca="false">IF(ISNA(VLOOKUP(WEEKDAY(W12,2),val_arr,HLOOKUP(W12,date_arr,2))),"",VLOOKUP(WEEKDAY(W12,2),val_arr,HLOOKUP(W12,date_arr,2)))</f>
        <v>100</v>
      </c>
      <c r="Z12" s="105" t="n">
        <f aca="false">0+42+26</f>
        <v>68</v>
      </c>
      <c r="AA12" s="106" t="n">
        <v>0</v>
      </c>
      <c r="AB12" s="107" t="n">
        <f aca="false">IF(Z12="","",Y12-Z12)</f>
        <v>32</v>
      </c>
      <c r="AC12" s="101" t="n">
        <v>9</v>
      </c>
      <c r="AD12" s="102" t="n">
        <v>45151</v>
      </c>
      <c r="AE12" s="103" t="str">
        <f aca="false">IF(AD12="","",CHOOSE(WEEKDAY(AD12,2),"Mon","Tue","Wed","Thu","Fri","Sat","Sun"))</f>
        <v>Sun</v>
      </c>
      <c r="AF12" s="104" t="n">
        <f aca="false">IF(ISNA(VLOOKUP(WEEKDAY(AD12,2),val_arr,HLOOKUP(AD12,date_arr,2))),"",VLOOKUP(WEEKDAY(AD12,2),val_arr,HLOOKUP(AD12,date_arr,2)))</f>
        <v>100</v>
      </c>
      <c r="AG12" s="105"/>
      <c r="AH12" s="106" t="s">
        <v>187</v>
      </c>
      <c r="AI12" s="107" t="str">
        <f aca="false">IF(AG12="","",AF12-AG12)</f>
        <v/>
      </c>
      <c r="AJ12" s="101" t="n">
        <v>9</v>
      </c>
      <c r="AK12" s="102" t="n">
        <v>45182</v>
      </c>
      <c r="AL12" s="103" t="str">
        <f aca="false">IF(AK12="","",CHOOSE(WEEKDAY(AK12,2),"Mon","Tue","Wed","Thu","Fri","Sat","Sun"))</f>
        <v>Wed</v>
      </c>
      <c r="AM12" s="104" t="n">
        <f aca="false">IF(ISNA(VLOOKUP(WEEKDAY(AK12,2),val_arr,HLOOKUP(AK12,date_arr,2))),"",VLOOKUP(WEEKDAY(AK12,2),val_arr,HLOOKUP(AK12,date_arr,2)))</f>
        <v>100</v>
      </c>
      <c r="AN12" s="105"/>
      <c r="AO12" s="106" t="s">
        <v>187</v>
      </c>
      <c r="AP12" s="107" t="str">
        <f aca="false">IF(AN12="","",AM12-AN12)</f>
        <v/>
      </c>
      <c r="AQ12" s="101" t="n">
        <v>9</v>
      </c>
      <c r="AR12" s="102" t="n">
        <v>45212</v>
      </c>
      <c r="AS12" s="103" t="str">
        <f aca="false">IF(AR12="","",CHOOSE(WEEKDAY(AR12,2),"Mon","Tue","Wed","Thu","Fri","Sat","Sun"))</f>
        <v>Fri</v>
      </c>
      <c r="AT12" s="104" t="n">
        <f aca="false">IF(ISNA(VLOOKUP(WEEKDAY(AR12,2),val_arr,HLOOKUP(AR12,date_arr,2))),"",VLOOKUP(WEEKDAY(AR12,2),val_arr,HLOOKUP(AR12,date_arr,2)))</f>
        <v>100</v>
      </c>
      <c r="AU12" s="105"/>
      <c r="AV12" s="106" t="s">
        <v>187</v>
      </c>
      <c r="AW12" s="107" t="str">
        <f aca="false">IF(AU12="","",AT12-AU12)</f>
        <v/>
      </c>
    </row>
    <row r="13" customFormat="false" ht="21" hidden="false" customHeight="true" outlineLevel="0" collapsed="false">
      <c r="A13" s="101" t="n">
        <v>10</v>
      </c>
      <c r="B13" s="102" t="n">
        <v>45030</v>
      </c>
      <c r="C13" s="103" t="str">
        <f aca="false">IF(B13="","",CHOOSE(WEEKDAY(B13,2),"Mon","Tue","Wed","Thu","Fri","Sat","Sun"))</f>
        <v>Fri</v>
      </c>
      <c r="D13" s="104" t="n">
        <f aca="false">IF(ISNA(VLOOKUP(WEEKDAY(B13,2),val_arr,HLOOKUP(B13,date_arr,2))),"",VLOOKUP(WEEKDAY(B13,2),val_arr,HLOOKUP(B13,date_arr,2)))</f>
        <v>100</v>
      </c>
      <c r="E13" s="105" t="n">
        <f aca="false">0+37-0</f>
        <v>37</v>
      </c>
      <c r="F13" s="106" t="n">
        <v>0</v>
      </c>
      <c r="G13" s="107" t="n">
        <f aca="false">IF(E13="","",D13-E13)</f>
        <v>63</v>
      </c>
      <c r="H13" s="101" t="n">
        <v>10</v>
      </c>
      <c r="I13" s="102" t="n">
        <v>45060</v>
      </c>
      <c r="J13" s="103" t="str">
        <f aca="false">IF(I13="","",CHOOSE(WEEKDAY(I13,2),"Mon","Tue","Wed","Thu","Fri","Sat","Sun"))</f>
        <v>Sun</v>
      </c>
      <c r="K13" s="104" t="n">
        <f aca="false">IF(ISNA(VLOOKUP(WEEKDAY(I13,2),val_arr,HLOOKUP(I13,date_arr,2))),"",VLOOKUP(WEEKDAY(I13,2),val_arr,HLOOKUP(I13,date_arr,2)))</f>
        <v>100</v>
      </c>
      <c r="L13" s="105" t="n">
        <f aca="false">0+76-0</f>
        <v>76</v>
      </c>
      <c r="M13" s="106" t="n">
        <v>0</v>
      </c>
      <c r="N13" s="107" t="n">
        <f aca="false">IF(L13="","",K13-L13)</f>
        <v>24</v>
      </c>
      <c r="O13" s="101" t="n">
        <v>10</v>
      </c>
      <c r="P13" s="102" t="n">
        <v>45091</v>
      </c>
      <c r="Q13" s="103" t="str">
        <f aca="false">IF(P13="","",CHOOSE(WEEKDAY(P13,2),"Mon","Tue","Wed","Thu","Fri","Sat","Sun"))</f>
        <v>Wed</v>
      </c>
      <c r="R13" s="104" t="n">
        <f aca="false">IF(ISNA(VLOOKUP(WEEKDAY(P13,2),val_arr,HLOOKUP(P13,date_arr,2))),"",VLOOKUP(WEEKDAY(P13,2),val_arr,HLOOKUP(P13,date_arr,2)))</f>
        <v>100</v>
      </c>
      <c r="S13" s="105" t="n">
        <f aca="false">0+40</f>
        <v>40</v>
      </c>
      <c r="T13" s="106" t="n">
        <v>0</v>
      </c>
      <c r="U13" s="107" t="n">
        <f aca="false">IF(S13="","",R13-S13)</f>
        <v>60</v>
      </c>
      <c r="V13" s="101" t="n">
        <v>10</v>
      </c>
      <c r="W13" s="102" t="n">
        <v>45121</v>
      </c>
      <c r="X13" s="103" t="str">
        <f aca="false">IF(W13="","",CHOOSE(WEEKDAY(W13,2),"Mon","Tue","Wed","Thu","Fri","Sat","Sun"))</f>
        <v>Fri</v>
      </c>
      <c r="Y13" s="104" t="n">
        <f aca="false">IF(ISNA(VLOOKUP(WEEKDAY(W13,2),val_arr,HLOOKUP(W13,date_arr,2))),"",VLOOKUP(WEEKDAY(W13,2),val_arr,HLOOKUP(W13,date_arr,2)))</f>
        <v>100</v>
      </c>
      <c r="Z13" s="105" t="n">
        <f aca="false">0+42+15</f>
        <v>57</v>
      </c>
      <c r="AA13" s="106" t="n">
        <v>0</v>
      </c>
      <c r="AB13" s="107" t="n">
        <f aca="false">IF(Z13="","",Y13-Z13)</f>
        <v>43</v>
      </c>
      <c r="AC13" s="101" t="n">
        <v>10</v>
      </c>
      <c r="AD13" s="102" t="n">
        <v>45152</v>
      </c>
      <c r="AE13" s="103" t="str">
        <f aca="false">IF(AD13="","",CHOOSE(WEEKDAY(AD13,2),"Mon","Tue","Wed","Thu","Fri","Sat","Sun"))</f>
        <v>Mon</v>
      </c>
      <c r="AF13" s="104" t="n">
        <f aca="false">IF(ISNA(VLOOKUP(WEEKDAY(AD13,2),val_arr,HLOOKUP(AD13,date_arr,2))),"",VLOOKUP(WEEKDAY(AD13,2),val_arr,HLOOKUP(AD13,date_arr,2)))</f>
        <v>100</v>
      </c>
      <c r="AG13" s="105"/>
      <c r="AH13" s="106" t="s">
        <v>188</v>
      </c>
      <c r="AI13" s="107" t="str">
        <f aca="false">IF(AG13="","",AF13-AG13)</f>
        <v/>
      </c>
      <c r="AJ13" s="101" t="n">
        <v>10</v>
      </c>
      <c r="AK13" s="102" t="n">
        <v>45183</v>
      </c>
      <c r="AL13" s="103" t="str">
        <f aca="false">IF(AK13="","",CHOOSE(WEEKDAY(AK13,2),"Mon","Tue","Wed","Thu","Fri","Sat","Sun"))</f>
        <v>Thu</v>
      </c>
      <c r="AM13" s="104" t="n">
        <f aca="false">IF(ISNA(VLOOKUP(WEEKDAY(AK13,2),val_arr,HLOOKUP(AK13,date_arr,2))),"",VLOOKUP(WEEKDAY(AK13,2),val_arr,HLOOKUP(AK13,date_arr,2)))</f>
        <v>100</v>
      </c>
      <c r="AN13" s="105"/>
      <c r="AO13" s="106" t="s">
        <v>188</v>
      </c>
      <c r="AP13" s="107" t="str">
        <f aca="false">IF(AN13="","",AM13-AN13)</f>
        <v/>
      </c>
      <c r="AQ13" s="101" t="n">
        <v>10</v>
      </c>
      <c r="AR13" s="102" t="n">
        <v>45213</v>
      </c>
      <c r="AS13" s="103" t="str">
        <f aca="false">IF(AR13="","",CHOOSE(WEEKDAY(AR13,2),"Mon","Tue","Wed","Thu","Fri","Sat","Sun"))</f>
        <v>Sat</v>
      </c>
      <c r="AT13" s="104" t="n">
        <f aca="false">IF(ISNA(VLOOKUP(WEEKDAY(AR13,2),val_arr,HLOOKUP(AR13,date_arr,2))),"",VLOOKUP(WEEKDAY(AR13,2),val_arr,HLOOKUP(AR13,date_arr,2)))</f>
        <v>100</v>
      </c>
      <c r="AU13" s="105"/>
      <c r="AV13" s="106" t="s">
        <v>188</v>
      </c>
      <c r="AW13" s="107" t="str">
        <f aca="false">IF(AU13="","",AT13-AU13)</f>
        <v/>
      </c>
    </row>
    <row r="14" customFormat="false" ht="21" hidden="false" customHeight="true" outlineLevel="0" collapsed="false">
      <c r="A14" s="101" t="n">
        <v>11</v>
      </c>
      <c r="B14" s="102" t="n">
        <v>45031</v>
      </c>
      <c r="C14" s="103" t="str">
        <f aca="false">IF(B14="","",CHOOSE(WEEKDAY(B14,2),"Mon","Tue","Wed","Thu","Fri","Sat","Sun"))</f>
        <v>Sat</v>
      </c>
      <c r="D14" s="104" t="n">
        <f aca="false">IF(ISNA(VLOOKUP(WEEKDAY(B14,2),val_arr,HLOOKUP(B14,date_arr,2))),"",VLOOKUP(WEEKDAY(B14,2),val_arr,HLOOKUP(B14,date_arr,2)))</f>
        <v>100</v>
      </c>
      <c r="E14" s="105" t="n">
        <f aca="false">0+61-0</f>
        <v>61</v>
      </c>
      <c r="F14" s="106" t="n">
        <v>0</v>
      </c>
      <c r="G14" s="107" t="n">
        <f aca="false">IF(E14="","",D14-E14)</f>
        <v>39</v>
      </c>
      <c r="H14" s="101" t="n">
        <v>11</v>
      </c>
      <c r="I14" s="102" t="n">
        <v>45061</v>
      </c>
      <c r="J14" s="103" t="str">
        <f aca="false">IF(I14="","",CHOOSE(WEEKDAY(I14,2),"Mon","Tue","Wed","Thu","Fri","Sat","Sun"))</f>
        <v>Mon</v>
      </c>
      <c r="K14" s="104" t="n">
        <f aca="false">IF(ISNA(VLOOKUP(WEEKDAY(I14,2),val_arr,HLOOKUP(I14,date_arr,2))),"",VLOOKUP(WEEKDAY(I14,2),val_arr,HLOOKUP(I14,date_arr,2)))</f>
        <v>100</v>
      </c>
      <c r="L14" s="105" t="n">
        <f aca="false">0+67-0-20</f>
        <v>47</v>
      </c>
      <c r="M14" s="106" t="n">
        <v>0</v>
      </c>
      <c r="N14" s="107" t="n">
        <f aca="false">IF(L14="","",K14-L14)</f>
        <v>53</v>
      </c>
      <c r="O14" s="101" t="n">
        <v>11</v>
      </c>
      <c r="P14" s="102" t="n">
        <v>45092</v>
      </c>
      <c r="Q14" s="103" t="str">
        <f aca="false">IF(P14="","",CHOOSE(WEEKDAY(P14,2),"Mon","Tue","Wed","Thu","Fri","Sat","Sun"))</f>
        <v>Thu</v>
      </c>
      <c r="R14" s="104" t="n">
        <f aca="false">IF(ISNA(VLOOKUP(WEEKDAY(P14,2),val_arr,HLOOKUP(P14,date_arr,2))),"",VLOOKUP(WEEKDAY(P14,2),val_arr,HLOOKUP(P14,date_arr,2)))</f>
        <v>100</v>
      </c>
      <c r="S14" s="105" t="n">
        <f aca="false">40</f>
        <v>40</v>
      </c>
      <c r="T14" s="106" t="n">
        <v>0</v>
      </c>
      <c r="U14" s="107" t="n">
        <f aca="false">IF(S14="","",R14-S14)</f>
        <v>60</v>
      </c>
      <c r="V14" s="101" t="n">
        <v>11</v>
      </c>
      <c r="W14" s="102" t="n">
        <v>45122</v>
      </c>
      <c r="X14" s="103" t="str">
        <f aca="false">IF(W14="","",CHOOSE(WEEKDAY(W14,2),"Mon","Tue","Wed","Thu","Fri","Sat","Sun"))</f>
        <v>Sat</v>
      </c>
      <c r="Y14" s="104" t="n">
        <f aca="false">IF(ISNA(VLOOKUP(WEEKDAY(W14,2),val_arr,HLOOKUP(W14,date_arr,2))),"",VLOOKUP(WEEKDAY(W14,2),val_arr,HLOOKUP(W14,date_arr,2)))</f>
        <v>100</v>
      </c>
      <c r="Z14" s="105" t="n">
        <f aca="false">0+87+27-47</f>
        <v>67</v>
      </c>
      <c r="AA14" s="106" t="n">
        <v>0</v>
      </c>
      <c r="AB14" s="107" t="n">
        <f aca="false">IF(Z14="","",Y14-Z14)</f>
        <v>33</v>
      </c>
      <c r="AC14" s="101" t="n">
        <v>11</v>
      </c>
      <c r="AD14" s="102" t="n">
        <v>45153</v>
      </c>
      <c r="AE14" s="103" t="str">
        <f aca="false">IF(AD14="","",CHOOSE(WEEKDAY(AD14,2),"Mon","Tue","Wed","Thu","Fri","Sat","Sun"))</f>
        <v>Tue</v>
      </c>
      <c r="AF14" s="104" t="n">
        <f aca="false">IF(ISNA(VLOOKUP(WEEKDAY(AD14,2),val_arr,HLOOKUP(AD14,date_arr,2))),"",VLOOKUP(WEEKDAY(AD14,2),val_arr,HLOOKUP(AD14,date_arr,2)))</f>
        <v>100</v>
      </c>
      <c r="AG14" s="105"/>
      <c r="AH14" s="106" t="s">
        <v>189</v>
      </c>
      <c r="AI14" s="107" t="str">
        <f aca="false">IF(AG14="","",AF14-AG14)</f>
        <v/>
      </c>
      <c r="AJ14" s="101" t="n">
        <v>11</v>
      </c>
      <c r="AK14" s="102" t="n">
        <v>45184</v>
      </c>
      <c r="AL14" s="103" t="str">
        <f aca="false">IF(AK14="","",CHOOSE(WEEKDAY(AK14,2),"Mon","Tue","Wed","Thu","Fri","Sat","Sun"))</f>
        <v>Fri</v>
      </c>
      <c r="AM14" s="104" t="n">
        <f aca="false">IF(ISNA(VLOOKUP(WEEKDAY(AK14,2),val_arr,HLOOKUP(AK14,date_arr,2))),"",VLOOKUP(WEEKDAY(AK14,2),val_arr,HLOOKUP(AK14,date_arr,2)))</f>
        <v>100</v>
      </c>
      <c r="AN14" s="105"/>
      <c r="AO14" s="106" t="s">
        <v>189</v>
      </c>
      <c r="AP14" s="107" t="str">
        <f aca="false">IF(AN14="","",AM14-AN14)</f>
        <v/>
      </c>
      <c r="AQ14" s="101" t="n">
        <v>11</v>
      </c>
      <c r="AR14" s="102" t="n">
        <v>45214</v>
      </c>
      <c r="AS14" s="103" t="str">
        <f aca="false">IF(AR14="","",CHOOSE(WEEKDAY(AR14,2),"Mon","Tue","Wed","Thu","Fri","Sat","Sun"))</f>
        <v>Sun</v>
      </c>
      <c r="AT14" s="104" t="n">
        <f aca="false">IF(ISNA(VLOOKUP(WEEKDAY(AR14,2),val_arr,HLOOKUP(AR14,date_arr,2))),"",VLOOKUP(WEEKDAY(AR14,2),val_arr,HLOOKUP(AR14,date_arr,2)))</f>
        <v>100</v>
      </c>
      <c r="AU14" s="105"/>
      <c r="AV14" s="106" t="s">
        <v>189</v>
      </c>
      <c r="AW14" s="107" t="str">
        <f aca="false">IF(AU14="","",AT14-AU14)</f>
        <v/>
      </c>
    </row>
    <row r="15" customFormat="false" ht="21" hidden="false" customHeight="true" outlineLevel="0" collapsed="false">
      <c r="A15" s="101" t="n">
        <v>12</v>
      </c>
      <c r="B15" s="102" t="n">
        <v>45032</v>
      </c>
      <c r="C15" s="103" t="str">
        <f aca="false">IF(B15="","",CHOOSE(WEEKDAY(B15,2),"Mon","Tue","Wed","Thu","Fri","Sat","Sun"))</f>
        <v>Sun</v>
      </c>
      <c r="D15" s="104" t="n">
        <f aca="false">IF(ISNA(VLOOKUP(WEEKDAY(B15,2),val_arr,HLOOKUP(B15,date_arr,2))),"",VLOOKUP(WEEKDAY(B15,2),val_arr,HLOOKUP(B15,date_arr,2)))</f>
        <v>100</v>
      </c>
      <c r="E15" s="105" t="n">
        <v>0</v>
      </c>
      <c r="F15" s="106" t="n">
        <v>0</v>
      </c>
      <c r="G15" s="107" t="n">
        <f aca="false">IF(E15="","",D15-E15)</f>
        <v>100</v>
      </c>
      <c r="H15" s="101" t="n">
        <v>12</v>
      </c>
      <c r="I15" s="102" t="n">
        <v>45062</v>
      </c>
      <c r="J15" s="103" t="str">
        <f aca="false">IF(I15="","",CHOOSE(WEEKDAY(I15,2),"Mon","Tue","Wed","Thu","Fri","Sat","Sun"))</f>
        <v>Tue</v>
      </c>
      <c r="K15" s="104" t="n">
        <f aca="false">IF(ISNA(VLOOKUP(WEEKDAY(I15,2),val_arr,HLOOKUP(I15,date_arr,2))),"",VLOOKUP(WEEKDAY(I15,2),val_arr,HLOOKUP(I15,date_arr,2)))</f>
        <v>100</v>
      </c>
      <c r="L15" s="105" t="n">
        <f aca="false">0+ 20+61-0-21</f>
        <v>60</v>
      </c>
      <c r="M15" s="106" t="n">
        <v>0</v>
      </c>
      <c r="N15" s="107" t="n">
        <f aca="false">IF(L15="","",K15-L15)</f>
        <v>40</v>
      </c>
      <c r="O15" s="101" t="n">
        <v>12</v>
      </c>
      <c r="P15" s="102" t="n">
        <v>45093</v>
      </c>
      <c r="Q15" s="103" t="str">
        <f aca="false">IF(P15="","",CHOOSE(WEEKDAY(P15,2),"Mon","Tue","Wed","Thu","Fri","Sat","Sun"))</f>
        <v>Fri</v>
      </c>
      <c r="R15" s="104" t="n">
        <f aca="false">IF(ISNA(VLOOKUP(WEEKDAY(P15,2),val_arr,HLOOKUP(P15,date_arr,2))),"",VLOOKUP(WEEKDAY(P15,2),val_arr,HLOOKUP(P15,date_arr,2)))</f>
        <v>100</v>
      </c>
      <c r="S15" s="105" t="n">
        <f aca="false">0+40</f>
        <v>40</v>
      </c>
      <c r="T15" s="106" t="n">
        <v>0</v>
      </c>
      <c r="U15" s="107" t="n">
        <f aca="false">IF(S15="","",R15-S15)</f>
        <v>60</v>
      </c>
      <c r="V15" s="101" t="n">
        <v>12</v>
      </c>
      <c r="W15" s="102" t="n">
        <v>45123</v>
      </c>
      <c r="X15" s="103" t="str">
        <f aca="false">IF(W15="","",CHOOSE(WEEKDAY(W15,2),"Mon","Tue","Wed","Thu","Fri","Sat","Sun"))</f>
        <v>Sun</v>
      </c>
      <c r="Y15" s="104" t="n">
        <f aca="false">IF(ISNA(VLOOKUP(WEEKDAY(W15,2),val_arr,HLOOKUP(W15,date_arr,2))),"",VLOOKUP(WEEKDAY(W15,2),val_arr,HLOOKUP(W15,date_arr,2)))</f>
        <v>100</v>
      </c>
      <c r="Z15" s="105" t="n">
        <f aca="false">0+0</f>
        <v>0</v>
      </c>
      <c r="AA15" s="106" t="n">
        <f aca="false">0</f>
        <v>0</v>
      </c>
      <c r="AB15" s="107" t="n">
        <f aca="false">IF(Z15="","",Y15-Z15)</f>
        <v>100</v>
      </c>
      <c r="AC15" s="101" t="n">
        <v>12</v>
      </c>
      <c r="AD15" s="102" t="n">
        <v>45154</v>
      </c>
      <c r="AE15" s="103" t="str">
        <f aca="false">IF(AD15="","",CHOOSE(WEEKDAY(AD15,2),"Mon","Tue","Wed","Thu","Fri","Sat","Sun"))</f>
        <v>Wed</v>
      </c>
      <c r="AF15" s="104" t="n">
        <f aca="false">IF(ISNA(VLOOKUP(WEEKDAY(AD15,2),val_arr,HLOOKUP(AD15,date_arr,2))),"",VLOOKUP(WEEKDAY(AD15,2),val_arr,HLOOKUP(AD15,date_arr,2)))</f>
        <v>100</v>
      </c>
      <c r="AG15" s="105"/>
      <c r="AH15" s="106"/>
      <c r="AI15" s="107" t="str">
        <f aca="false">IF(AG15="","",AF15-AG15)</f>
        <v/>
      </c>
      <c r="AJ15" s="101" t="n">
        <v>12</v>
      </c>
      <c r="AK15" s="102" t="n">
        <v>45185</v>
      </c>
      <c r="AL15" s="103" t="str">
        <f aca="false">IF(AK15="","",CHOOSE(WEEKDAY(AK15,2),"Mon","Tue","Wed","Thu","Fri","Sat","Sun"))</f>
        <v>Sat</v>
      </c>
      <c r="AM15" s="104" t="n">
        <f aca="false">IF(ISNA(VLOOKUP(WEEKDAY(AK15,2),val_arr,HLOOKUP(AK15,date_arr,2))),"",VLOOKUP(WEEKDAY(AK15,2),val_arr,HLOOKUP(AK15,date_arr,2)))</f>
        <v>100</v>
      </c>
      <c r="AN15" s="105"/>
      <c r="AO15" s="106"/>
      <c r="AP15" s="107" t="str">
        <f aca="false">IF(AN15="","",AM15-AN15)</f>
        <v/>
      </c>
      <c r="AQ15" s="101" t="n">
        <v>12</v>
      </c>
      <c r="AR15" s="102" t="n">
        <v>45215</v>
      </c>
      <c r="AS15" s="103" t="str">
        <f aca="false">IF(AR15="","",CHOOSE(WEEKDAY(AR15,2),"Mon","Tue","Wed","Thu","Fri","Sat","Sun"))</f>
        <v>Mon</v>
      </c>
      <c r="AT15" s="104" t="n">
        <f aca="false">IF(ISNA(VLOOKUP(WEEKDAY(AR15,2),val_arr,HLOOKUP(AR15,date_arr,2))),"",VLOOKUP(WEEKDAY(AR15,2),val_arr,HLOOKUP(AR15,date_arr,2)))</f>
        <v>100</v>
      </c>
      <c r="AU15" s="105"/>
      <c r="AV15" s="106"/>
      <c r="AW15" s="107" t="str">
        <f aca="false">IF(AU15="","",AT15-AU15)</f>
        <v/>
      </c>
    </row>
    <row r="16" customFormat="false" ht="21" hidden="false" customHeight="true" outlineLevel="0" collapsed="false">
      <c r="A16" s="101" t="n">
        <v>13</v>
      </c>
      <c r="B16" s="102" t="n">
        <v>45033</v>
      </c>
      <c r="C16" s="103" t="str">
        <f aca="false">IF(B16="","",CHOOSE(WEEKDAY(B16,2),"Mon","Tue","Wed","Thu","Fri","Sat","Sun"))</f>
        <v>Mon</v>
      </c>
      <c r="D16" s="104" t="n">
        <f aca="false">IF(ISNA(VLOOKUP(WEEKDAY(B16,2),val_arr,HLOOKUP(B16,date_arr,2))),"",VLOOKUP(WEEKDAY(B16,2),val_arr,HLOOKUP(B16,date_arr,2)))</f>
        <v>100</v>
      </c>
      <c r="E16" s="105" t="n">
        <f aca="false">0+61-0</f>
        <v>61</v>
      </c>
      <c r="F16" s="106" t="n">
        <v>0</v>
      </c>
      <c r="G16" s="107" t="n">
        <f aca="false">IF(E16="","",D16-E16)</f>
        <v>39</v>
      </c>
      <c r="H16" s="101" t="n">
        <v>13</v>
      </c>
      <c r="I16" s="102" t="n">
        <v>45063</v>
      </c>
      <c r="J16" s="103" t="str">
        <f aca="false">IF(I16="","",CHOOSE(WEEKDAY(I16,2),"Mon","Tue","Wed","Thu","Fri","Sat","Sun"))</f>
        <v>Wed</v>
      </c>
      <c r="K16" s="104" t="n">
        <f aca="false">IF(ISNA(VLOOKUP(WEEKDAY(I16,2),val_arr,HLOOKUP(I16,date_arr,2))),"",VLOOKUP(WEEKDAY(I16,2),val_arr,HLOOKUP(I16,date_arr,2)))</f>
        <v>100</v>
      </c>
      <c r="L16" s="105" t="n">
        <f aca="false">0+40+45-0-22</f>
        <v>63</v>
      </c>
      <c r="M16" s="106" t="n">
        <v>0</v>
      </c>
      <c r="N16" s="107" t="n">
        <f aca="false">IF(L16="","",K16-L16)</f>
        <v>37</v>
      </c>
      <c r="O16" s="101" t="n">
        <v>13</v>
      </c>
      <c r="P16" s="102" t="n">
        <v>45094</v>
      </c>
      <c r="Q16" s="103" t="str">
        <f aca="false">IF(P16="","",CHOOSE(WEEKDAY(P16,2),"Mon","Tue","Wed","Thu","Fri","Sat","Sun"))</f>
        <v>Sat</v>
      </c>
      <c r="R16" s="104" t="n">
        <f aca="false">IF(ISNA(VLOOKUP(WEEKDAY(P16,2),val_arr,HLOOKUP(P16,date_arr,2))),"",VLOOKUP(WEEKDAY(P16,2),val_arr,HLOOKUP(P16,date_arr,2)))</f>
        <v>100</v>
      </c>
      <c r="S16" s="105" t="n">
        <f aca="false">0+40</f>
        <v>40</v>
      </c>
      <c r="T16" s="106" t="n">
        <v>0</v>
      </c>
      <c r="U16" s="107" t="n">
        <f aca="false">IF(S16="","",R16-S16)</f>
        <v>60</v>
      </c>
      <c r="V16" s="101" t="n">
        <v>13</v>
      </c>
      <c r="W16" s="102" t="n">
        <v>45124</v>
      </c>
      <c r="X16" s="103" t="str">
        <f aca="false">IF(W16="","",CHOOSE(WEEKDAY(W16,2),"Mon","Tue","Wed","Thu","Fri","Sat","Sun"))</f>
        <v>Mon</v>
      </c>
      <c r="Y16" s="104" t="n">
        <f aca="false">IF(ISNA(VLOOKUP(WEEKDAY(W16,2),val_arr,HLOOKUP(W16,date_arr,2))),"",VLOOKUP(WEEKDAY(W16,2),val_arr,HLOOKUP(W16,date_arr,2)))</f>
        <v>100</v>
      </c>
      <c r="Z16" s="105" t="n">
        <f aca="false">0+18</f>
        <v>18</v>
      </c>
      <c r="AA16" s="106" t="n">
        <v>0</v>
      </c>
      <c r="AB16" s="107" t="n">
        <f aca="false">IF(Z16="","",Y16-Z16)</f>
        <v>82</v>
      </c>
      <c r="AC16" s="101" t="n">
        <v>13</v>
      </c>
      <c r="AD16" s="102" t="n">
        <v>45155</v>
      </c>
      <c r="AE16" s="103" t="str">
        <f aca="false">IF(AD16="","",CHOOSE(WEEKDAY(AD16,2),"Mon","Tue","Wed","Thu","Fri","Sat","Sun"))</f>
        <v>Thu</v>
      </c>
      <c r="AF16" s="104" t="n">
        <f aca="false">IF(ISNA(VLOOKUP(WEEKDAY(AD16,2),val_arr,HLOOKUP(AD16,date_arr,2))),"",VLOOKUP(WEEKDAY(AD16,2),val_arr,HLOOKUP(AD16,date_arr,2)))</f>
        <v>100</v>
      </c>
      <c r="AG16" s="105"/>
      <c r="AH16" s="106"/>
      <c r="AI16" s="107" t="str">
        <f aca="false">IF(AG16="","",AF16-AG16)</f>
        <v/>
      </c>
      <c r="AJ16" s="101" t="n">
        <v>13</v>
      </c>
      <c r="AK16" s="102" t="n">
        <v>45186</v>
      </c>
      <c r="AL16" s="103" t="str">
        <f aca="false">IF(AK16="","",CHOOSE(WEEKDAY(AK16,2),"Mon","Tue","Wed","Thu","Fri","Sat","Sun"))</f>
        <v>Sun</v>
      </c>
      <c r="AM16" s="104" t="n">
        <f aca="false">IF(ISNA(VLOOKUP(WEEKDAY(AK16,2),val_arr,HLOOKUP(AK16,date_arr,2))),"",VLOOKUP(WEEKDAY(AK16,2),val_arr,HLOOKUP(AK16,date_arr,2)))</f>
        <v>100</v>
      </c>
      <c r="AN16" s="105"/>
      <c r="AO16" s="106"/>
      <c r="AP16" s="107" t="str">
        <f aca="false">IF(AN16="","",AM16-AN16)</f>
        <v/>
      </c>
      <c r="AQ16" s="101" t="n">
        <v>13</v>
      </c>
      <c r="AR16" s="102" t="n">
        <v>45216</v>
      </c>
      <c r="AS16" s="103" t="str">
        <f aca="false">IF(AR16="","",CHOOSE(WEEKDAY(AR16,2),"Mon","Tue","Wed","Thu","Fri","Sat","Sun"))</f>
        <v>Tue</v>
      </c>
      <c r="AT16" s="104" t="n">
        <f aca="false">IF(ISNA(VLOOKUP(WEEKDAY(AR16,2),val_arr,HLOOKUP(AR16,date_arr,2))),"",VLOOKUP(WEEKDAY(AR16,2),val_arr,HLOOKUP(AR16,date_arr,2)))</f>
        <v>100</v>
      </c>
      <c r="AU16" s="105"/>
      <c r="AV16" s="106"/>
      <c r="AW16" s="107" t="str">
        <f aca="false">IF(AU16="","",AT16-AU16)</f>
        <v/>
      </c>
    </row>
    <row r="17" customFormat="false" ht="21" hidden="false" customHeight="true" outlineLevel="0" collapsed="false">
      <c r="A17" s="101" t="n">
        <v>14</v>
      </c>
      <c r="B17" s="102" t="n">
        <v>45034</v>
      </c>
      <c r="C17" s="103" t="str">
        <f aca="false">IF(B17="","",CHOOSE(WEEKDAY(B17,2),"Mon","Tue","Wed","Thu","Fri","Sat","Sun"))</f>
        <v>Tue</v>
      </c>
      <c r="D17" s="104" t="n">
        <f aca="false">IF(ISNA(VLOOKUP(WEEKDAY(B17,2),val_arr,HLOOKUP(B17,date_arr,2))),"",VLOOKUP(WEEKDAY(B17,2),val_arr,HLOOKUP(B17,date_arr,2)))</f>
        <v>100</v>
      </c>
      <c r="E17" s="105" t="n">
        <f aca="false">0+48-0</f>
        <v>48</v>
      </c>
      <c r="F17" s="106" t="n">
        <v>0</v>
      </c>
      <c r="G17" s="107" t="n">
        <f aca="false">IF(E17="","",D17-E17)</f>
        <v>52</v>
      </c>
      <c r="H17" s="101" t="n">
        <v>14</v>
      </c>
      <c r="I17" s="102" t="n">
        <v>45064</v>
      </c>
      <c r="J17" s="103" t="str">
        <f aca="false">IF(I17="","",CHOOSE(WEEKDAY(I17,2),"Mon","Tue","Wed","Thu","Fri","Sat","Sun"))</f>
        <v>Thu</v>
      </c>
      <c r="K17" s="104" t="n">
        <f aca="false">IF(ISNA(VLOOKUP(WEEKDAY(I17,2),val_arr,HLOOKUP(I17,date_arr,2))),"",VLOOKUP(WEEKDAY(I17,2),val_arr,HLOOKUP(I17,date_arr,2)))</f>
        <v>100</v>
      </c>
      <c r="L17" s="105" t="n">
        <f aca="false">0+40+44-0-20</f>
        <v>64</v>
      </c>
      <c r="M17" s="106" t="n">
        <v>0</v>
      </c>
      <c r="N17" s="107" t="n">
        <f aca="false">IF(L17="","",K17-L17)</f>
        <v>36</v>
      </c>
      <c r="O17" s="101" t="n">
        <v>14</v>
      </c>
      <c r="P17" s="102" t="n">
        <v>45095</v>
      </c>
      <c r="Q17" s="103" t="str">
        <f aca="false">IF(P17="","",CHOOSE(WEEKDAY(P17,2),"Mon","Tue","Wed","Thu","Fri","Sat","Sun"))</f>
        <v>Sun</v>
      </c>
      <c r="R17" s="104" t="n">
        <f aca="false">IF(ISNA(VLOOKUP(WEEKDAY(P17,2),val_arr,HLOOKUP(P17,date_arr,2))),"",VLOOKUP(WEEKDAY(P17,2),val_arr,HLOOKUP(P17,date_arr,2)))</f>
        <v>100</v>
      </c>
      <c r="S17" s="105" t="n">
        <f aca="false">0+40</f>
        <v>40</v>
      </c>
      <c r="T17" s="106" t="n">
        <v>0</v>
      </c>
      <c r="U17" s="107" t="n">
        <f aca="false">IF(S17="","",R17-S17)</f>
        <v>60</v>
      </c>
      <c r="V17" s="101" t="n">
        <v>14</v>
      </c>
      <c r="W17" s="102" t="n">
        <v>45125</v>
      </c>
      <c r="X17" s="103" t="str">
        <f aca="false">IF(W17="","",CHOOSE(WEEKDAY(W17,2),"Mon","Tue","Wed","Thu","Fri","Sat","Sun"))</f>
        <v>Tue</v>
      </c>
      <c r="Y17" s="104" t="n">
        <f aca="false">IF(ISNA(VLOOKUP(WEEKDAY(W17,2),val_arr,HLOOKUP(W17,date_arr,2))),"",VLOOKUP(WEEKDAY(W17,2),val_arr,HLOOKUP(W17,date_arr,2)))</f>
        <v>100</v>
      </c>
      <c r="Z17" s="105" t="n">
        <f aca="false">0+32+27-10</f>
        <v>49</v>
      </c>
      <c r="AA17" s="108" t="n">
        <v>0</v>
      </c>
      <c r="AB17" s="107" t="n">
        <f aca="false">IF(Z17="","",Y17-Z17)</f>
        <v>51</v>
      </c>
      <c r="AC17" s="101" t="n">
        <v>14</v>
      </c>
      <c r="AD17" s="102" t="n">
        <v>45156</v>
      </c>
      <c r="AE17" s="103" t="str">
        <f aca="false">IF(AD17="","",CHOOSE(WEEKDAY(AD17,2),"Mon","Tue","Wed","Thu","Fri","Sat","Sun"))</f>
        <v>Fri</v>
      </c>
      <c r="AF17" s="104" t="n">
        <f aca="false">IF(ISNA(VLOOKUP(WEEKDAY(AD17,2),val_arr,HLOOKUP(AD17,date_arr,2))),"",VLOOKUP(WEEKDAY(AD17,2),val_arr,HLOOKUP(AD17,date_arr,2)))</f>
        <v>100</v>
      </c>
      <c r="AG17" s="105"/>
      <c r="AH17" s="106"/>
      <c r="AI17" s="107" t="str">
        <f aca="false">IF(AG17="","",AF17-AG17)</f>
        <v/>
      </c>
      <c r="AJ17" s="101" t="n">
        <v>14</v>
      </c>
      <c r="AK17" s="102" t="n">
        <v>45187</v>
      </c>
      <c r="AL17" s="103" t="str">
        <f aca="false">IF(AK17="","",CHOOSE(WEEKDAY(AK17,2),"Mon","Tue","Wed","Thu","Fri","Sat","Sun"))</f>
        <v>Mon</v>
      </c>
      <c r="AM17" s="104" t="n">
        <f aca="false">IF(ISNA(VLOOKUP(WEEKDAY(AK17,2),val_arr,HLOOKUP(AK17,date_arr,2))),"",VLOOKUP(WEEKDAY(AK17,2),val_arr,HLOOKUP(AK17,date_arr,2)))</f>
        <v>100</v>
      </c>
      <c r="AN17" s="105"/>
      <c r="AO17" s="106"/>
      <c r="AP17" s="107" t="str">
        <f aca="false">IF(AN17="","",AM17-AN17)</f>
        <v/>
      </c>
      <c r="AQ17" s="101" t="n">
        <v>14</v>
      </c>
      <c r="AR17" s="102" t="n">
        <v>45217</v>
      </c>
      <c r="AS17" s="103" t="str">
        <f aca="false">IF(AR17="","",CHOOSE(WEEKDAY(AR17,2),"Mon","Tue","Wed","Thu","Fri","Sat","Sun"))</f>
        <v>Wed</v>
      </c>
      <c r="AT17" s="104" t="n">
        <f aca="false">IF(ISNA(VLOOKUP(WEEKDAY(AR17,2),val_arr,HLOOKUP(AR17,date_arr,2))),"",VLOOKUP(WEEKDAY(AR17,2),val_arr,HLOOKUP(AR17,date_arr,2)))</f>
        <v>100</v>
      </c>
      <c r="AU17" s="105"/>
      <c r="AV17" s="106"/>
      <c r="AW17" s="107" t="str">
        <f aca="false">IF(AU17="","",AT17-AU17)</f>
        <v/>
      </c>
    </row>
    <row r="18" customFormat="false" ht="21" hidden="false" customHeight="true" outlineLevel="0" collapsed="false">
      <c r="A18" s="101" t="n">
        <v>15</v>
      </c>
      <c r="B18" s="102" t="n">
        <v>45035</v>
      </c>
      <c r="C18" s="103" t="str">
        <f aca="false">IF(B18="","",CHOOSE(WEEKDAY(B18,2),"Mon","Tue","Wed","Thu","Fri","Sat","Sun"))</f>
        <v>Wed</v>
      </c>
      <c r="D18" s="104" t="n">
        <f aca="false">IF(ISNA(VLOOKUP(WEEKDAY(B18,2),val_arr,HLOOKUP(B18,date_arr,2))),"",VLOOKUP(WEEKDAY(B18,2),val_arr,HLOOKUP(B18,date_arr,2)))</f>
        <v>100</v>
      </c>
      <c r="E18" s="105" t="n">
        <f aca="false">0+14-0</f>
        <v>14</v>
      </c>
      <c r="F18" s="106" t="n">
        <v>0</v>
      </c>
      <c r="G18" s="107" t="n">
        <f aca="false">IF(E18="","",D18-E18)</f>
        <v>86</v>
      </c>
      <c r="H18" s="101" t="n">
        <v>15</v>
      </c>
      <c r="I18" s="102" t="n">
        <v>45065</v>
      </c>
      <c r="J18" s="103" t="str">
        <f aca="false">IF(I18="","",CHOOSE(WEEKDAY(I18,2),"Mon","Tue","Wed","Thu","Fri","Sat","Sun"))</f>
        <v>Fri</v>
      </c>
      <c r="K18" s="104" t="n">
        <f aca="false">IF(ISNA(VLOOKUP(WEEKDAY(I18,2),val_arr,HLOOKUP(I18,date_arr,2))),"",VLOOKUP(WEEKDAY(I18,2),val_arr,HLOOKUP(I18,date_arr,2)))</f>
        <v>100</v>
      </c>
      <c r="L18" s="110" t="n">
        <f aca="false">0+20+42-0</f>
        <v>62</v>
      </c>
      <c r="M18" s="106" t="n">
        <v>0</v>
      </c>
      <c r="N18" s="107" t="n">
        <f aca="false">IF(L18="","",K18-L18)</f>
        <v>38</v>
      </c>
      <c r="O18" s="101" t="n">
        <v>15</v>
      </c>
      <c r="P18" s="102" t="n">
        <v>45096</v>
      </c>
      <c r="Q18" s="103" t="str">
        <f aca="false">IF(P18="","",CHOOSE(WEEKDAY(P18,2),"Mon","Tue","Wed","Thu","Fri","Sat","Sun"))</f>
        <v>Mon</v>
      </c>
      <c r="R18" s="104" t="n">
        <f aca="false">IF(ISNA(VLOOKUP(WEEKDAY(P18,2),val_arr,HLOOKUP(P18,date_arr,2))),"",VLOOKUP(WEEKDAY(P18,2),val_arr,HLOOKUP(P18,date_arr,2)))</f>
        <v>100</v>
      </c>
      <c r="S18" s="105" t="n">
        <f aca="false">0+40</f>
        <v>40</v>
      </c>
      <c r="T18" s="106" t="n">
        <v>0</v>
      </c>
      <c r="U18" s="107" t="n">
        <f aca="false">IF(S18="","",R18-S18)</f>
        <v>60</v>
      </c>
      <c r="V18" s="101" t="n">
        <v>15</v>
      </c>
      <c r="W18" s="102" t="n">
        <v>45126</v>
      </c>
      <c r="X18" s="103" t="str">
        <f aca="false">IF(W18="","",CHOOSE(WEEKDAY(W18,2),"Mon","Tue","Wed","Thu","Fri","Sat","Sun"))</f>
        <v>Wed</v>
      </c>
      <c r="Y18" s="104" t="n">
        <f aca="false">IF(ISNA(VLOOKUP(WEEKDAY(W18,2),val_arr,HLOOKUP(W18,date_arr,2))),"",VLOOKUP(WEEKDAY(W18,2),val_arr,HLOOKUP(W18,date_arr,2)))</f>
        <v>100</v>
      </c>
      <c r="Z18" s="105" t="n">
        <f aca="false">0+57+27</f>
        <v>84</v>
      </c>
      <c r="AA18" s="106" t="n">
        <v>0</v>
      </c>
      <c r="AB18" s="107" t="n">
        <f aca="false">IF(Z18="","",Y18-Z18)</f>
        <v>16</v>
      </c>
      <c r="AC18" s="101" t="n">
        <v>15</v>
      </c>
      <c r="AD18" s="102" t="n">
        <v>45157</v>
      </c>
      <c r="AE18" s="103" t="str">
        <f aca="false">IF(AD18="","",CHOOSE(WEEKDAY(AD18,2),"Mon","Tue","Wed","Thu","Fri","Sat","Sun"))</f>
        <v>Sat</v>
      </c>
      <c r="AF18" s="104" t="n">
        <f aca="false">IF(ISNA(VLOOKUP(WEEKDAY(AD18,2),val_arr,HLOOKUP(AD18,date_arr,2))),"",VLOOKUP(WEEKDAY(AD18,2),val_arr,HLOOKUP(AD18,date_arr,2)))</f>
        <v>100</v>
      </c>
      <c r="AG18" s="105"/>
      <c r="AH18" s="106"/>
      <c r="AI18" s="107" t="str">
        <f aca="false">IF(AG18="","",AF18-AG18)</f>
        <v/>
      </c>
      <c r="AJ18" s="101" t="n">
        <v>15</v>
      </c>
      <c r="AK18" s="102" t="n">
        <v>45188</v>
      </c>
      <c r="AL18" s="103" t="str">
        <f aca="false">IF(AK18="","",CHOOSE(WEEKDAY(AK18,2),"Mon","Tue","Wed","Thu","Fri","Sat","Sun"))</f>
        <v>Tue</v>
      </c>
      <c r="AM18" s="104" t="n">
        <f aca="false">IF(ISNA(VLOOKUP(WEEKDAY(AK18,2),val_arr,HLOOKUP(AK18,date_arr,2))),"",VLOOKUP(WEEKDAY(AK18,2),val_arr,HLOOKUP(AK18,date_arr,2)))</f>
        <v>100</v>
      </c>
      <c r="AN18" s="105"/>
      <c r="AO18" s="106"/>
      <c r="AP18" s="107" t="str">
        <f aca="false">IF(AN18="","",AM18-AN18)</f>
        <v/>
      </c>
      <c r="AQ18" s="101" t="n">
        <v>15</v>
      </c>
      <c r="AR18" s="102" t="n">
        <v>45218</v>
      </c>
      <c r="AS18" s="103" t="str">
        <f aca="false">IF(AR18="","",CHOOSE(WEEKDAY(AR18,2),"Mon","Tue","Wed","Thu","Fri","Sat","Sun"))</f>
        <v>Thu</v>
      </c>
      <c r="AT18" s="104" t="n">
        <f aca="false">IF(ISNA(VLOOKUP(WEEKDAY(AR18,2),val_arr,HLOOKUP(AR18,date_arr,2))),"",VLOOKUP(WEEKDAY(AR18,2),val_arr,HLOOKUP(AR18,date_arr,2)))</f>
        <v>100</v>
      </c>
      <c r="AU18" s="105"/>
      <c r="AV18" s="106"/>
      <c r="AW18" s="107" t="str">
        <f aca="false">IF(AU18="","",AT18-AU18)</f>
        <v/>
      </c>
    </row>
    <row r="19" customFormat="false" ht="21" hidden="false" customHeight="true" outlineLevel="0" collapsed="false">
      <c r="A19" s="101" t="n">
        <v>16</v>
      </c>
      <c r="B19" s="102" t="n">
        <v>45036</v>
      </c>
      <c r="C19" s="103" t="str">
        <f aca="false">IF(B19="","",CHOOSE(WEEKDAY(B19,2),"Mon","Tue","Wed","Thu","Fri","Sat","Sun"))</f>
        <v>Thu</v>
      </c>
      <c r="D19" s="104" t="n">
        <f aca="false">IF(ISNA(VLOOKUP(WEEKDAY(B19,2),val_arr,HLOOKUP(B19,date_arr,2))),"",VLOOKUP(WEEKDAY(B19,2),val_arr,HLOOKUP(B19,date_arr,2)))</f>
        <v>100</v>
      </c>
      <c r="E19" s="105" t="n">
        <f aca="false">0+14-0</f>
        <v>14</v>
      </c>
      <c r="F19" s="106" t="n">
        <v>0</v>
      </c>
      <c r="G19" s="107" t="n">
        <f aca="false">IF(E19="","",D19-E19)</f>
        <v>86</v>
      </c>
      <c r="H19" s="101" t="n">
        <v>16</v>
      </c>
      <c r="I19" s="102" t="n">
        <v>45066</v>
      </c>
      <c r="J19" s="103" t="str">
        <f aca="false">IF(I19="","",CHOOSE(WEEKDAY(I19,2),"Mon","Tue","Wed","Thu","Fri","Sat","Sun"))</f>
        <v>Sat</v>
      </c>
      <c r="K19" s="104" t="n">
        <f aca="false">IF(ISNA(VLOOKUP(WEEKDAY(I19,2),val_arr,HLOOKUP(I19,date_arr,2))),"",VLOOKUP(WEEKDAY(I19,2),val_arr,HLOOKUP(I19,date_arr,2)))</f>
        <v>100</v>
      </c>
      <c r="L19" s="105" t="n">
        <f aca="false">0+40+33-0-9</f>
        <v>64</v>
      </c>
      <c r="M19" s="106" t="n">
        <v>0</v>
      </c>
      <c r="N19" s="107" t="n">
        <f aca="false">IF(L19="","",K19-L19)</f>
        <v>36</v>
      </c>
      <c r="O19" s="101" t="n">
        <v>16</v>
      </c>
      <c r="P19" s="102" t="n">
        <v>45097</v>
      </c>
      <c r="Q19" s="103" t="str">
        <f aca="false">IF(P19="","",CHOOSE(WEEKDAY(P19,2),"Mon","Tue","Wed","Thu","Fri","Sat","Sun"))</f>
        <v>Tue</v>
      </c>
      <c r="R19" s="104" t="n">
        <f aca="false">IF(ISNA(VLOOKUP(WEEKDAY(P19,2),val_arr,HLOOKUP(P19,date_arr,2))),"",VLOOKUP(WEEKDAY(P19,2),val_arr,HLOOKUP(P19,date_arr,2)))</f>
        <v>100</v>
      </c>
      <c r="S19" s="105" t="n">
        <f aca="false">0+20+10</f>
        <v>30</v>
      </c>
      <c r="T19" s="106" t="n">
        <v>0</v>
      </c>
      <c r="U19" s="107" t="n">
        <f aca="false">IF(S19="","",R19-S19)</f>
        <v>70</v>
      </c>
      <c r="V19" s="101" t="n">
        <v>16</v>
      </c>
      <c r="W19" s="102" t="n">
        <v>45127</v>
      </c>
      <c r="X19" s="103" t="str">
        <f aca="false">IF(W19="","",CHOOSE(WEEKDAY(W19,2),"Mon","Tue","Wed","Thu","Fri","Sat","Sun"))</f>
        <v>Thu</v>
      </c>
      <c r="Y19" s="104" t="n">
        <f aca="false">IF(ISNA(VLOOKUP(WEEKDAY(W19,2),val_arr,HLOOKUP(W19,date_arr,2))),"",VLOOKUP(WEEKDAY(W19,2),val_arr,HLOOKUP(W19,date_arr,2)))</f>
        <v>100</v>
      </c>
      <c r="Z19" s="105" t="n">
        <f aca="false">0+13+40</f>
        <v>53</v>
      </c>
      <c r="AA19" s="106" t="n">
        <v>0</v>
      </c>
      <c r="AB19" s="107" t="n">
        <f aca="false">IF(Z19="","",Y19-Z19)</f>
        <v>47</v>
      </c>
      <c r="AC19" s="101" t="n">
        <v>16</v>
      </c>
      <c r="AD19" s="102" t="n">
        <v>45158</v>
      </c>
      <c r="AE19" s="103" t="str">
        <f aca="false">IF(AD19="","",CHOOSE(WEEKDAY(AD19,2),"Mon","Tue","Wed","Thu","Fri","Sat","Sun"))</f>
        <v>Sun</v>
      </c>
      <c r="AF19" s="104" t="n">
        <f aca="false">IF(ISNA(VLOOKUP(WEEKDAY(AD19,2),val_arr,HLOOKUP(AD19,date_arr,2))),"",VLOOKUP(WEEKDAY(AD19,2),val_arr,HLOOKUP(AD19,date_arr,2)))</f>
        <v>100</v>
      </c>
      <c r="AG19" s="105"/>
      <c r="AH19" s="106"/>
      <c r="AI19" s="107" t="str">
        <f aca="false">IF(AG19="","",AF19-AG19)</f>
        <v/>
      </c>
      <c r="AJ19" s="101" t="n">
        <v>16</v>
      </c>
      <c r="AK19" s="102" t="n">
        <v>45189</v>
      </c>
      <c r="AL19" s="103" t="str">
        <f aca="false">IF(AK19="","",CHOOSE(WEEKDAY(AK19,2),"Mon","Tue","Wed","Thu","Fri","Sat","Sun"))</f>
        <v>Wed</v>
      </c>
      <c r="AM19" s="104" t="n">
        <f aca="false">IF(ISNA(VLOOKUP(WEEKDAY(AK19,2),val_arr,HLOOKUP(AK19,date_arr,2))),"",VLOOKUP(WEEKDAY(AK19,2),val_arr,HLOOKUP(AK19,date_arr,2)))</f>
        <v>100</v>
      </c>
      <c r="AN19" s="105"/>
      <c r="AO19" s="106"/>
      <c r="AP19" s="107" t="str">
        <f aca="false">IF(AN19="","",AM19-AN19)</f>
        <v/>
      </c>
      <c r="AQ19" s="101" t="n">
        <v>16</v>
      </c>
      <c r="AR19" s="102" t="n">
        <v>45219</v>
      </c>
      <c r="AS19" s="103" t="str">
        <f aca="false">IF(AR19="","",CHOOSE(WEEKDAY(AR19,2),"Mon","Tue","Wed","Thu","Fri","Sat","Sun"))</f>
        <v>Fri</v>
      </c>
      <c r="AT19" s="104" t="n">
        <f aca="false">IF(ISNA(VLOOKUP(WEEKDAY(AR19,2),val_arr,HLOOKUP(AR19,date_arr,2))),"",VLOOKUP(WEEKDAY(AR19,2),val_arr,HLOOKUP(AR19,date_arr,2)))</f>
        <v>100</v>
      </c>
      <c r="AU19" s="105"/>
      <c r="AV19" s="106"/>
      <c r="AW19" s="107" t="str">
        <f aca="false">IF(AU19="","",AT19-AU19)</f>
        <v/>
      </c>
    </row>
    <row r="20" s="89" customFormat="true" ht="21" hidden="false" customHeight="true" outlineLevel="0" collapsed="false">
      <c r="A20" s="101" t="n">
        <v>17</v>
      </c>
      <c r="B20" s="102" t="n">
        <v>45037</v>
      </c>
      <c r="C20" s="103" t="str">
        <f aca="false">IF(B20="","",CHOOSE(WEEKDAY(B20,2),"Mon","Tue","Wed","Thu","Fri","Sat","Sun"))</f>
        <v>Fri</v>
      </c>
      <c r="D20" s="104" t="n">
        <f aca="false">IF(ISNA(VLOOKUP(WEEKDAY(B20,2),val_arr,HLOOKUP(B20,date_arr,2))),"",VLOOKUP(WEEKDAY(B20,2),val_arr,HLOOKUP(B20,date_arr,2)))</f>
        <v>100</v>
      </c>
      <c r="E20" s="105" t="n">
        <f aca="false">0+14-0</f>
        <v>14</v>
      </c>
      <c r="F20" s="106" t="n">
        <v>0</v>
      </c>
      <c r="G20" s="107" t="n">
        <f aca="false">IF(E20="","",D20-E20)</f>
        <v>86</v>
      </c>
      <c r="H20" s="101" t="n">
        <v>17</v>
      </c>
      <c r="I20" s="102" t="n">
        <v>45067</v>
      </c>
      <c r="J20" s="103" t="str">
        <f aca="false">IF(I20="","",CHOOSE(WEEKDAY(I20,2),"Mon","Tue","Wed","Thu","Fri","Sat","Sun"))</f>
        <v>Sun</v>
      </c>
      <c r="K20" s="104" t="n">
        <f aca="false">IF(ISNA(VLOOKUP(WEEKDAY(I20,2),val_arr,HLOOKUP(I20,date_arr,2))),"",VLOOKUP(WEEKDAY(I20,2),val_arr,HLOOKUP(I20,date_arr,2)))</f>
        <v>100</v>
      </c>
      <c r="L20" s="105" t="n">
        <f aca="false">0+40+39-0</f>
        <v>79</v>
      </c>
      <c r="M20" s="106" t="n">
        <v>0</v>
      </c>
      <c r="N20" s="107" t="n">
        <f aca="false">IF(L20="","",K20-L20)</f>
        <v>21</v>
      </c>
      <c r="O20" s="101" t="n">
        <v>17</v>
      </c>
      <c r="P20" s="102" t="n">
        <v>45098</v>
      </c>
      <c r="Q20" s="103" t="str">
        <f aca="false">IF(P20="","",CHOOSE(WEEKDAY(P20,2),"Mon","Tue","Wed","Thu","Fri","Sat","Sun"))</f>
        <v>Wed</v>
      </c>
      <c r="R20" s="104" t="n">
        <f aca="false">IF(ISNA(VLOOKUP(WEEKDAY(P20,2),val_arr,HLOOKUP(P20,date_arr,2))),"",VLOOKUP(WEEKDAY(P20,2),val_arr,HLOOKUP(P20,date_arr,2)))</f>
        <v>100</v>
      </c>
      <c r="S20" s="105" t="n">
        <f aca="false">0+40+11+35</f>
        <v>86</v>
      </c>
      <c r="T20" s="106" t="n">
        <v>0</v>
      </c>
      <c r="U20" s="107" t="n">
        <f aca="false">IF(S20="","",R20-S20)</f>
        <v>14</v>
      </c>
      <c r="V20" s="101" t="n">
        <v>17</v>
      </c>
      <c r="W20" s="102" t="n">
        <v>45128</v>
      </c>
      <c r="X20" s="103" t="str">
        <f aca="false">IF(W20="","",CHOOSE(WEEKDAY(W20,2),"Mon","Tue","Wed","Thu","Fri","Sat","Sun"))</f>
        <v>Fri</v>
      </c>
      <c r="Y20" s="104" t="n">
        <f aca="false">IF(ISNA(VLOOKUP(WEEKDAY(W20,2),val_arr,HLOOKUP(W20,date_arr,2))),"",VLOOKUP(WEEKDAY(W20,2),val_arr,HLOOKUP(W20,date_arr,2)))</f>
        <v>100</v>
      </c>
      <c r="Z20" s="105" t="n">
        <f aca="false">0</f>
        <v>0</v>
      </c>
      <c r="AA20" s="106" t="n">
        <v>0</v>
      </c>
      <c r="AB20" s="107" t="n">
        <f aca="false">IF(Z20="","",Y20-Z20)</f>
        <v>100</v>
      </c>
      <c r="AC20" s="101" t="n">
        <v>17</v>
      </c>
      <c r="AD20" s="102" t="n">
        <v>45159</v>
      </c>
      <c r="AE20" s="103" t="str">
        <f aca="false">IF(AD20="","",CHOOSE(WEEKDAY(AD20,2),"Mon","Tue","Wed","Thu","Fri","Sat","Sun"))</f>
        <v>Mon</v>
      </c>
      <c r="AF20" s="104" t="n">
        <f aca="false">IF(ISNA(VLOOKUP(WEEKDAY(AD20,2),val_arr,HLOOKUP(AD20,date_arr,2))),"",VLOOKUP(WEEKDAY(AD20,2),val_arr,HLOOKUP(AD20,date_arr,2)))</f>
        <v>100</v>
      </c>
      <c r="AG20" s="105"/>
      <c r="AH20" s="106"/>
      <c r="AI20" s="107" t="str">
        <f aca="false">IF(AG20="","",AF20-AG20)</f>
        <v/>
      </c>
      <c r="AJ20" s="101" t="n">
        <v>17</v>
      </c>
      <c r="AK20" s="102" t="n">
        <v>45190</v>
      </c>
      <c r="AL20" s="103" t="str">
        <f aca="false">IF(AK20="","",CHOOSE(WEEKDAY(AK20,2),"Mon","Tue","Wed","Thu","Fri","Sat","Sun"))</f>
        <v>Thu</v>
      </c>
      <c r="AM20" s="104" t="n">
        <f aca="false">IF(ISNA(VLOOKUP(WEEKDAY(AK20,2),val_arr,HLOOKUP(AK20,date_arr,2))),"",VLOOKUP(WEEKDAY(AK20,2),val_arr,HLOOKUP(AK20,date_arr,2)))</f>
        <v>100</v>
      </c>
      <c r="AN20" s="105"/>
      <c r="AO20" s="106"/>
      <c r="AP20" s="107" t="str">
        <f aca="false">IF(AN20="","",AM20-AN20)</f>
        <v/>
      </c>
      <c r="AQ20" s="101" t="n">
        <v>17</v>
      </c>
      <c r="AR20" s="102" t="n">
        <v>45220</v>
      </c>
      <c r="AS20" s="103" t="str">
        <f aca="false">IF(AR20="","",CHOOSE(WEEKDAY(AR20,2),"Mon","Tue","Wed","Thu","Fri","Sat","Sun"))</f>
        <v>Sat</v>
      </c>
      <c r="AT20" s="104" t="n">
        <f aca="false">IF(ISNA(VLOOKUP(WEEKDAY(AR20,2),val_arr,HLOOKUP(AR20,date_arr,2))),"",VLOOKUP(WEEKDAY(AR20,2),val_arr,HLOOKUP(AR20,date_arr,2)))</f>
        <v>100</v>
      </c>
      <c r="AU20" s="105"/>
      <c r="AV20" s="106"/>
      <c r="AW20" s="107" t="str">
        <f aca="false">IF(AU20="","",AT20-AU20)</f>
        <v/>
      </c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1" hidden="false" customHeight="true" outlineLevel="0" collapsed="false">
      <c r="A21" s="101" t="n">
        <v>18</v>
      </c>
      <c r="B21" s="102" t="n">
        <v>45038</v>
      </c>
      <c r="C21" s="103" t="str">
        <f aca="false">IF(B21="","",CHOOSE(WEEKDAY(B21,2),"Mon","Tue","Wed","Thu","Fri","Sat","Sun"))</f>
        <v>Sat</v>
      </c>
      <c r="D21" s="104" t="n">
        <f aca="false">IF(ISNA(VLOOKUP(WEEKDAY(B21,2),val_arr,HLOOKUP(B21,date_arr,2))),"",VLOOKUP(WEEKDAY(B21,2),val_arr,HLOOKUP(B21,date_arr,2)))</f>
        <v>100</v>
      </c>
      <c r="E21" s="105" t="n">
        <f aca="false">0+14-0</f>
        <v>14</v>
      </c>
      <c r="F21" s="106" t="n">
        <v>0</v>
      </c>
      <c r="G21" s="107" t="n">
        <f aca="false">IF(E21="","",D21-E21)</f>
        <v>86</v>
      </c>
      <c r="H21" s="101" t="n">
        <v>18</v>
      </c>
      <c r="I21" s="102" t="n">
        <v>45068</v>
      </c>
      <c r="J21" s="103" t="str">
        <f aca="false">IF(I21="","",CHOOSE(WEEKDAY(I21,2),"Mon","Tue","Wed","Thu","Fri","Sat","Sun"))</f>
        <v>Mon</v>
      </c>
      <c r="K21" s="104" t="n">
        <f aca="false">IF(ISNA(VLOOKUP(WEEKDAY(I21,2),val_arr,HLOOKUP(I21,date_arr,2))),"",VLOOKUP(WEEKDAY(I21,2),val_arr,HLOOKUP(I21,date_arr,2)))</f>
        <v>100</v>
      </c>
      <c r="L21" s="105" t="n">
        <f aca="false">0+40+29-0</f>
        <v>69</v>
      </c>
      <c r="M21" s="106" t="n">
        <v>0</v>
      </c>
      <c r="N21" s="107" t="n">
        <f aca="false">IF(L21="","",K21-L21)</f>
        <v>31</v>
      </c>
      <c r="O21" s="101" t="n">
        <v>18</v>
      </c>
      <c r="P21" s="102" t="n">
        <v>45099</v>
      </c>
      <c r="Q21" s="103" t="str">
        <f aca="false">IF(P21="","",CHOOSE(WEEKDAY(P21,2),"Mon","Tue","Wed","Thu","Fri","Sat","Sun"))</f>
        <v>Thu</v>
      </c>
      <c r="R21" s="104" t="n">
        <f aca="false">IF(ISNA(VLOOKUP(WEEKDAY(P21,2),val_arr,HLOOKUP(P21,date_arr,2))),"",VLOOKUP(WEEKDAY(P21,2),val_arr,HLOOKUP(P21,date_arr,2)))</f>
        <v>100</v>
      </c>
      <c r="S21" s="105" t="n">
        <f aca="false">0+44</f>
        <v>44</v>
      </c>
      <c r="T21" s="106" t="n">
        <v>0</v>
      </c>
      <c r="U21" s="107" t="n">
        <f aca="false">IF(S21="","",R21-S21)</f>
        <v>56</v>
      </c>
      <c r="V21" s="101" t="n">
        <v>18</v>
      </c>
      <c r="W21" s="102" t="n">
        <v>45129</v>
      </c>
      <c r="X21" s="103" t="str">
        <f aca="false">IF(W21="","",CHOOSE(WEEKDAY(W21,2),"Mon","Tue","Wed","Thu","Fri","Sat","Sun"))</f>
        <v>Sat</v>
      </c>
      <c r="Y21" s="104" t="n">
        <f aca="false">IF(ISNA(VLOOKUP(WEEKDAY(W21,2),val_arr,HLOOKUP(W21,date_arr,2))),"",VLOOKUP(WEEKDAY(W21,2),val_arr,HLOOKUP(W21,date_arr,2)))</f>
        <v>100</v>
      </c>
      <c r="Z21" s="105" t="n">
        <f aca="false">0+88</f>
        <v>88</v>
      </c>
      <c r="AA21" s="106" t="n">
        <v>0</v>
      </c>
      <c r="AB21" s="107" t="n">
        <f aca="false">IF(Z21="","",Y21-Z21)</f>
        <v>12</v>
      </c>
      <c r="AC21" s="101" t="n">
        <v>18</v>
      </c>
      <c r="AD21" s="102" t="n">
        <v>45160</v>
      </c>
      <c r="AE21" s="103" t="str">
        <f aca="false">IF(AD21="","",CHOOSE(WEEKDAY(AD21,2),"Mon","Tue","Wed","Thu","Fri","Sat","Sun"))</f>
        <v>Tue</v>
      </c>
      <c r="AF21" s="104" t="n">
        <f aca="false">IF(ISNA(VLOOKUP(WEEKDAY(AD21,2),val_arr,HLOOKUP(AD21,date_arr,2))),"",VLOOKUP(WEEKDAY(AD21,2),val_arr,HLOOKUP(AD21,date_arr,2)))</f>
        <v>100</v>
      </c>
      <c r="AG21" s="105"/>
      <c r="AH21" s="108" t="s">
        <v>190</v>
      </c>
      <c r="AI21" s="107" t="str">
        <f aca="false">IF(AG21="","",AF21-AG21)</f>
        <v/>
      </c>
      <c r="AJ21" s="101" t="n">
        <v>18</v>
      </c>
      <c r="AK21" s="102" t="n">
        <v>45191</v>
      </c>
      <c r="AL21" s="103" t="str">
        <f aca="false">IF(AK21="","",CHOOSE(WEEKDAY(AK21,2),"Mon","Tue","Wed","Thu","Fri","Sat","Sun"))</f>
        <v>Fri</v>
      </c>
      <c r="AM21" s="104" t="n">
        <f aca="false">IF(ISNA(VLOOKUP(WEEKDAY(AK21,2),val_arr,HLOOKUP(AK21,date_arr,2))),"",VLOOKUP(WEEKDAY(AK21,2),val_arr,HLOOKUP(AK21,date_arr,2)))</f>
        <v>100</v>
      </c>
      <c r="AN21" s="105"/>
      <c r="AO21" s="108" t="s">
        <v>190</v>
      </c>
      <c r="AP21" s="107" t="str">
        <f aca="false">IF(AN21="","",AM21-AN21)</f>
        <v/>
      </c>
      <c r="AQ21" s="101" t="n">
        <v>18</v>
      </c>
      <c r="AR21" s="102" t="n">
        <v>45221</v>
      </c>
      <c r="AS21" s="103" t="str">
        <f aca="false">IF(AR21="","",CHOOSE(WEEKDAY(AR21,2),"Mon","Tue","Wed","Thu","Fri","Sat","Sun"))</f>
        <v>Sun</v>
      </c>
      <c r="AT21" s="104" t="n">
        <f aca="false">IF(ISNA(VLOOKUP(WEEKDAY(AR21,2),val_arr,HLOOKUP(AR21,date_arr,2))),"",VLOOKUP(WEEKDAY(AR21,2),val_arr,HLOOKUP(AR21,date_arr,2)))</f>
        <v>100</v>
      </c>
      <c r="AU21" s="105"/>
      <c r="AV21" s="108" t="s">
        <v>190</v>
      </c>
      <c r="AW21" s="107" t="str">
        <f aca="false">IF(AU21="","",AT21-AU21)</f>
        <v/>
      </c>
    </row>
    <row r="22" customFormat="false" ht="21" hidden="false" customHeight="true" outlineLevel="0" collapsed="false">
      <c r="A22" s="101" t="n">
        <v>19</v>
      </c>
      <c r="B22" s="102" t="n">
        <v>45039</v>
      </c>
      <c r="C22" s="103" t="str">
        <f aca="false">IF(B22="","",CHOOSE(WEEKDAY(B22,2),"Mon","Tue","Wed","Thu","Fri","Sat","Sun"))</f>
        <v>Sun</v>
      </c>
      <c r="D22" s="104" t="n">
        <f aca="false">IF(ISNA(VLOOKUP(WEEKDAY(B22,2),val_arr,HLOOKUP(B22,date_arr,2))),"",VLOOKUP(WEEKDAY(B22,2),val_arr,HLOOKUP(B22,date_arr,2)))</f>
        <v>100</v>
      </c>
      <c r="E22" s="105" t="n">
        <f aca="false">0+61-0</f>
        <v>61</v>
      </c>
      <c r="F22" s="106" t="n">
        <v>0</v>
      </c>
      <c r="G22" s="107" t="n">
        <f aca="false">IF(E22="","",D22-E22)</f>
        <v>39</v>
      </c>
      <c r="H22" s="101" t="n">
        <v>19</v>
      </c>
      <c r="I22" s="102" t="n">
        <v>45069</v>
      </c>
      <c r="J22" s="103" t="str">
        <f aca="false">IF(I22="","",CHOOSE(WEEKDAY(I22,2),"Mon","Tue","Wed","Thu","Fri","Sat","Sun"))</f>
        <v>Tue</v>
      </c>
      <c r="K22" s="104" t="n">
        <f aca="false">IF(ISNA(VLOOKUP(WEEKDAY(I22,2),val_arr,HLOOKUP(I22,date_arr,2))),"",VLOOKUP(WEEKDAY(I22,2),val_arr,HLOOKUP(I22,date_arr,2)))</f>
        <v>100</v>
      </c>
      <c r="L22" s="105" t="n">
        <f aca="false">0+40+34-6</f>
        <v>68</v>
      </c>
      <c r="M22" s="106" t="n">
        <v>0</v>
      </c>
      <c r="N22" s="107" t="n">
        <f aca="false">IF(L22="","",K22-L22)</f>
        <v>32</v>
      </c>
      <c r="O22" s="101" t="n">
        <v>19</v>
      </c>
      <c r="P22" s="102" t="n">
        <v>45100</v>
      </c>
      <c r="Q22" s="103" t="str">
        <f aca="false">IF(P22="","",CHOOSE(WEEKDAY(P22,2),"Mon","Tue","Wed","Thu","Fri","Sat","Sun"))</f>
        <v>Fri</v>
      </c>
      <c r="R22" s="104" t="n">
        <f aca="false">IF(ISNA(VLOOKUP(WEEKDAY(P22,2),val_arr,HLOOKUP(P22,date_arr,2))),"",VLOOKUP(WEEKDAY(P22,2),val_arr,HLOOKUP(P22,date_arr,2)))</f>
        <v>100</v>
      </c>
      <c r="S22" s="105" t="n">
        <f aca="false">0+43</f>
        <v>43</v>
      </c>
      <c r="T22" s="106" t="n">
        <v>0</v>
      </c>
      <c r="U22" s="107" t="n">
        <f aca="false">IF(S22="","",R22-S22)</f>
        <v>57</v>
      </c>
      <c r="V22" s="101" t="n">
        <v>19</v>
      </c>
      <c r="W22" s="102" t="n">
        <v>45130</v>
      </c>
      <c r="X22" s="103" t="str">
        <f aca="false">IF(W22="","",CHOOSE(WEEKDAY(W22,2),"Mon","Tue","Wed","Thu","Fri","Sat","Sun"))</f>
        <v>Sun</v>
      </c>
      <c r="Y22" s="104" t="n">
        <f aca="false">IF(ISNA(VLOOKUP(WEEKDAY(W22,2),val_arr,HLOOKUP(W22,date_arr,2))),"",VLOOKUP(WEEKDAY(W22,2),val_arr,HLOOKUP(W22,date_arr,2)))</f>
        <v>100</v>
      </c>
      <c r="Z22" s="105" t="n">
        <f aca="false">0+26+27</f>
        <v>53</v>
      </c>
      <c r="AA22" s="106" t="n">
        <v>0</v>
      </c>
      <c r="AB22" s="107" t="n">
        <f aca="false">IF(Z22="","",Y22-Z22)</f>
        <v>47</v>
      </c>
      <c r="AC22" s="101" t="n">
        <v>19</v>
      </c>
      <c r="AD22" s="102" t="n">
        <v>45161</v>
      </c>
      <c r="AE22" s="103" t="str">
        <f aca="false">IF(AD22="","",CHOOSE(WEEKDAY(AD22,2),"Mon","Tue","Wed","Thu","Fri","Sat","Sun"))</f>
        <v>Wed</v>
      </c>
      <c r="AF22" s="104" t="n">
        <f aca="false">IF(ISNA(VLOOKUP(WEEKDAY(AD22,2),val_arr,HLOOKUP(AD22,date_arr,2))),"",VLOOKUP(WEEKDAY(AD22,2),val_arr,HLOOKUP(AD22,date_arr,2)))</f>
        <v>100</v>
      </c>
      <c r="AG22" s="105"/>
      <c r="AH22" s="106"/>
      <c r="AI22" s="107" t="str">
        <f aca="false">IF(AG22="","",AF22-AG22)</f>
        <v/>
      </c>
      <c r="AJ22" s="101" t="n">
        <v>19</v>
      </c>
      <c r="AK22" s="102" t="n">
        <v>45192</v>
      </c>
      <c r="AL22" s="103" t="str">
        <f aca="false">IF(AK22="","",CHOOSE(WEEKDAY(AK22,2),"Mon","Tue","Wed","Thu","Fri","Sat","Sun"))</f>
        <v>Sat</v>
      </c>
      <c r="AM22" s="104" t="n">
        <f aca="false">IF(ISNA(VLOOKUP(WEEKDAY(AK22,2),val_arr,HLOOKUP(AK22,date_arr,2))),"",VLOOKUP(WEEKDAY(AK22,2),val_arr,HLOOKUP(AK22,date_arr,2)))</f>
        <v>100</v>
      </c>
      <c r="AN22" s="105"/>
      <c r="AO22" s="106"/>
      <c r="AP22" s="107" t="str">
        <f aca="false">IF(AN22="","",AM22-AN22)</f>
        <v/>
      </c>
      <c r="AQ22" s="101" t="n">
        <v>19</v>
      </c>
      <c r="AR22" s="102" t="n">
        <v>45222</v>
      </c>
      <c r="AS22" s="103" t="str">
        <f aca="false">IF(AR22="","",CHOOSE(WEEKDAY(AR22,2),"Mon","Tue","Wed","Thu","Fri","Sat","Sun"))</f>
        <v>Mon</v>
      </c>
      <c r="AT22" s="104" t="n">
        <f aca="false">IF(ISNA(VLOOKUP(WEEKDAY(AR22,2),val_arr,HLOOKUP(AR22,date_arr,2))),"",VLOOKUP(WEEKDAY(AR22,2),val_arr,HLOOKUP(AR22,date_arr,2)))</f>
        <v>100</v>
      </c>
      <c r="AU22" s="105"/>
      <c r="AV22" s="106"/>
      <c r="AW22" s="107" t="str">
        <f aca="false">IF(AU22="","",AT22-AU22)</f>
        <v/>
      </c>
    </row>
    <row r="23" customFormat="false" ht="21" hidden="false" customHeight="true" outlineLevel="0" collapsed="false">
      <c r="A23" s="101" t="n">
        <v>20</v>
      </c>
      <c r="B23" s="102" t="n">
        <v>45040</v>
      </c>
      <c r="C23" s="103" t="str">
        <f aca="false">IF(B23="","",CHOOSE(WEEKDAY(B23,2),"Mon","Tue","Wed","Thu","Fri","Sat","Sun"))</f>
        <v>Mon</v>
      </c>
      <c r="D23" s="104" t="n">
        <f aca="false">IF(ISNA(VLOOKUP(WEEKDAY(B23,2),val_arr,HLOOKUP(B23,date_arr,2))),"",VLOOKUP(WEEKDAY(B23,2),val_arr,HLOOKUP(B23,date_arr,2)))</f>
        <v>100</v>
      </c>
      <c r="E23" s="105" t="n">
        <f aca="false">0+24-0</f>
        <v>24</v>
      </c>
      <c r="F23" s="106" t="n">
        <v>0</v>
      </c>
      <c r="G23" s="107" t="n">
        <f aca="false">IF(E23="","",D23-E23)</f>
        <v>76</v>
      </c>
      <c r="H23" s="101" t="n">
        <v>20</v>
      </c>
      <c r="I23" s="102" t="n">
        <v>45070</v>
      </c>
      <c r="J23" s="103" t="str">
        <f aca="false">IF(I23="","",CHOOSE(WEEKDAY(I23,2),"Mon","Tue","Wed","Thu","Fri","Sat","Sun"))</f>
        <v>Wed</v>
      </c>
      <c r="K23" s="104" t="n">
        <f aca="false">IF(ISNA(VLOOKUP(WEEKDAY(I23,2),val_arr,HLOOKUP(I23,date_arr,2))),"",VLOOKUP(WEEKDAY(I23,2),val_arr,HLOOKUP(I23,date_arr,2)))</f>
        <v>100</v>
      </c>
      <c r="L23" s="105" t="n">
        <f aca="false">0+20+15-0</f>
        <v>35</v>
      </c>
      <c r="M23" s="106" t="n">
        <v>0</v>
      </c>
      <c r="N23" s="107" t="n">
        <f aca="false">IF(L23="","",K23-L23)</f>
        <v>65</v>
      </c>
      <c r="O23" s="101" t="n">
        <v>20</v>
      </c>
      <c r="P23" s="102" t="n">
        <v>45101</v>
      </c>
      <c r="Q23" s="103" t="str">
        <f aca="false">IF(P23="","",CHOOSE(WEEKDAY(P23,2),"Mon","Tue","Wed","Thu","Fri","Sat","Sun"))</f>
        <v>Sat</v>
      </c>
      <c r="R23" s="104" t="n">
        <f aca="false">IF(ISNA(VLOOKUP(WEEKDAY(P23,2),val_arr,HLOOKUP(P23,date_arr,2))),"",VLOOKUP(WEEKDAY(P23,2),val_arr,HLOOKUP(P23,date_arr,2)))</f>
        <v>100</v>
      </c>
      <c r="S23" s="105" t="n">
        <f aca="false">0+53+9</f>
        <v>62</v>
      </c>
      <c r="T23" s="106" t="n">
        <v>0</v>
      </c>
      <c r="U23" s="107" t="n">
        <f aca="false">IF(S23="","",R23-S23)</f>
        <v>38</v>
      </c>
      <c r="V23" s="101" t="n">
        <v>20</v>
      </c>
      <c r="W23" s="102" t="n">
        <v>45131</v>
      </c>
      <c r="X23" s="103" t="str">
        <f aca="false">IF(W23="","",CHOOSE(WEEKDAY(W23,2),"Mon","Tue","Wed","Thu","Fri","Sat","Sun"))</f>
        <v>Mon</v>
      </c>
      <c r="Y23" s="104" t="n">
        <f aca="false">IF(ISNA(VLOOKUP(WEEKDAY(W23,2),val_arr,HLOOKUP(W23,date_arr,2))),"",VLOOKUP(WEEKDAY(W23,2),val_arr,HLOOKUP(W23,date_arr,2)))</f>
        <v>100</v>
      </c>
      <c r="Z23" s="105" t="n">
        <f aca="false">0+21+27</f>
        <v>48</v>
      </c>
      <c r="AA23" s="106" t="n">
        <v>0</v>
      </c>
      <c r="AB23" s="107" t="n">
        <f aca="false">IF(Z23="","",Y23-Z23)</f>
        <v>52</v>
      </c>
      <c r="AC23" s="101" t="n">
        <v>20</v>
      </c>
      <c r="AD23" s="102" t="n">
        <v>45162</v>
      </c>
      <c r="AE23" s="103" t="str">
        <f aca="false">IF(AD23="","",CHOOSE(WEEKDAY(AD23,2),"Mon","Tue","Wed","Thu","Fri","Sat","Sun"))</f>
        <v>Thu</v>
      </c>
      <c r="AF23" s="104" t="n">
        <f aca="false">IF(ISNA(VLOOKUP(WEEKDAY(AD23,2),val_arr,HLOOKUP(AD23,date_arr,2))),"",VLOOKUP(WEEKDAY(AD23,2),val_arr,HLOOKUP(AD23,date_arr,2)))</f>
        <v>100</v>
      </c>
      <c r="AG23" s="105"/>
      <c r="AH23" s="111" t="s">
        <v>191</v>
      </c>
      <c r="AI23" s="107" t="str">
        <f aca="false">IF(AG23="","",AF23-AG23)</f>
        <v/>
      </c>
      <c r="AJ23" s="101" t="n">
        <v>20</v>
      </c>
      <c r="AK23" s="102" t="n">
        <v>45193</v>
      </c>
      <c r="AL23" s="103" t="str">
        <f aca="false">IF(AK23="","",CHOOSE(WEEKDAY(AK23,2),"Mon","Tue","Wed","Thu","Fri","Sat","Sun"))</f>
        <v>Sun</v>
      </c>
      <c r="AM23" s="104" t="n">
        <f aca="false">IF(ISNA(VLOOKUP(WEEKDAY(AK23,2),val_arr,HLOOKUP(AK23,date_arr,2))),"",VLOOKUP(WEEKDAY(AK23,2),val_arr,HLOOKUP(AK23,date_arr,2)))</f>
        <v>100</v>
      </c>
      <c r="AN23" s="105"/>
      <c r="AO23" s="111" t="s">
        <v>191</v>
      </c>
      <c r="AP23" s="107" t="str">
        <f aca="false">IF(AN23="","",AM23-AN23)</f>
        <v/>
      </c>
      <c r="AQ23" s="101" t="n">
        <v>20</v>
      </c>
      <c r="AR23" s="102" t="n">
        <v>45223</v>
      </c>
      <c r="AS23" s="103" t="str">
        <f aca="false">IF(AR23="","",CHOOSE(WEEKDAY(AR23,2),"Mon","Tue","Wed","Thu","Fri","Sat","Sun"))</f>
        <v>Tue</v>
      </c>
      <c r="AT23" s="104" t="n">
        <f aca="false">IF(ISNA(VLOOKUP(WEEKDAY(AR23,2),val_arr,HLOOKUP(AR23,date_arr,2))),"",VLOOKUP(WEEKDAY(AR23,2),val_arr,HLOOKUP(AR23,date_arr,2)))</f>
        <v>100</v>
      </c>
      <c r="AU23" s="105"/>
      <c r="AV23" s="111" t="s">
        <v>191</v>
      </c>
      <c r="AW23" s="107" t="str">
        <f aca="false">IF(AU23="","",AT23-AU23)</f>
        <v/>
      </c>
    </row>
    <row r="24" customFormat="false" ht="21" hidden="false" customHeight="true" outlineLevel="0" collapsed="false">
      <c r="A24" s="101" t="n">
        <v>21</v>
      </c>
      <c r="B24" s="102" t="n">
        <v>45041</v>
      </c>
      <c r="C24" s="103" t="str">
        <f aca="false">IF(B24="","",CHOOSE(WEEKDAY(B24,2),"Mon","Tue","Wed","Thu","Fri","Sat","Sun"))</f>
        <v>Tue</v>
      </c>
      <c r="D24" s="104" t="n">
        <f aca="false">IF(ISNA(VLOOKUP(WEEKDAY(B24,2),val_arr,HLOOKUP(B24,date_arr,2))),"",VLOOKUP(WEEKDAY(B24,2),val_arr,HLOOKUP(B24,date_arr,2)))</f>
        <v>100</v>
      </c>
      <c r="E24" s="105" t="n">
        <f aca="false">0+40-0</f>
        <v>40</v>
      </c>
      <c r="F24" s="106" t="n">
        <v>0</v>
      </c>
      <c r="G24" s="107" t="n">
        <f aca="false">IF(E24="","",D24-E24)</f>
        <v>60</v>
      </c>
      <c r="H24" s="101" t="n">
        <v>21</v>
      </c>
      <c r="I24" s="102" t="n">
        <v>45071</v>
      </c>
      <c r="J24" s="103" t="str">
        <f aca="false">IF(I24="","",CHOOSE(WEEKDAY(I24,2),"Mon","Tue","Wed","Thu","Fri","Sat","Sun"))</f>
        <v>Thu</v>
      </c>
      <c r="K24" s="104" t="n">
        <f aca="false">IF(ISNA(VLOOKUP(WEEKDAY(I24,2),val_arr,HLOOKUP(I24,date_arr,2))),"",VLOOKUP(WEEKDAY(I24,2),val_arr,HLOOKUP(I24,date_arr,2)))</f>
        <v>100</v>
      </c>
      <c r="L24" s="105" t="n">
        <f aca="false">0+40+36-0</f>
        <v>76</v>
      </c>
      <c r="M24" s="106" t="n">
        <v>0</v>
      </c>
      <c r="N24" s="107" t="n">
        <f aca="false">IF(L24="","",K24-L24)</f>
        <v>24</v>
      </c>
      <c r="O24" s="101" t="n">
        <v>21</v>
      </c>
      <c r="P24" s="102" t="n">
        <v>45102</v>
      </c>
      <c r="Q24" s="103" t="str">
        <f aca="false">IF(P24="","",CHOOSE(WEEKDAY(P24,2),"Mon","Tue","Wed","Thu","Fri","Sat","Sun"))</f>
        <v>Sun</v>
      </c>
      <c r="R24" s="104" t="n">
        <f aca="false">IF(ISNA(VLOOKUP(WEEKDAY(P24,2),val_arr,HLOOKUP(P24,date_arr,2))),"",VLOOKUP(WEEKDAY(P24,2),val_arr,HLOOKUP(P24,date_arr,2)))</f>
        <v>100</v>
      </c>
      <c r="S24" s="105" t="n">
        <f aca="false">0+20+30+14-14</f>
        <v>50</v>
      </c>
      <c r="T24" s="106" t="n">
        <v>0</v>
      </c>
      <c r="U24" s="107" t="n">
        <f aca="false">IF(S24="","",R24-S24)</f>
        <v>50</v>
      </c>
      <c r="V24" s="101" t="n">
        <v>21</v>
      </c>
      <c r="W24" s="102" t="n">
        <v>45132</v>
      </c>
      <c r="X24" s="103" t="str">
        <f aca="false">IF(W24="","",CHOOSE(WEEKDAY(W24,2),"Mon","Tue","Wed","Thu","Fri","Sat","Sun"))</f>
        <v>Tue</v>
      </c>
      <c r="Y24" s="104" t="n">
        <f aca="false">IF(ISNA(VLOOKUP(WEEKDAY(W24,2),val_arr,HLOOKUP(W24,date_arr,2))),"",VLOOKUP(WEEKDAY(W24,2),val_arr,HLOOKUP(W24,date_arr,2)))</f>
        <v>100</v>
      </c>
      <c r="Z24" s="105" t="n">
        <f aca="false">0+26</f>
        <v>26</v>
      </c>
      <c r="AA24" s="106" t="n">
        <v>0</v>
      </c>
      <c r="AB24" s="107" t="n">
        <f aca="false">IF(Z24="","",Y24-Z24)</f>
        <v>74</v>
      </c>
      <c r="AC24" s="101" t="n">
        <v>21</v>
      </c>
      <c r="AD24" s="102" t="n">
        <v>45163</v>
      </c>
      <c r="AE24" s="103" t="str">
        <f aca="false">IF(AD24="","",CHOOSE(WEEKDAY(AD24,2),"Mon","Tue","Wed","Thu","Fri","Sat","Sun"))</f>
        <v>Fri</v>
      </c>
      <c r="AF24" s="104" t="n">
        <f aca="false">IF(ISNA(VLOOKUP(WEEKDAY(AD24,2),val_arr,HLOOKUP(AD24,date_arr,2))),"",VLOOKUP(WEEKDAY(AD24,2),val_arr,HLOOKUP(AD24,date_arr,2)))</f>
        <v>100</v>
      </c>
      <c r="AG24" s="105"/>
      <c r="AH24" s="108" t="s">
        <v>192</v>
      </c>
      <c r="AI24" s="107" t="str">
        <f aca="false">IF(AG24="","",AF24-AG24)</f>
        <v/>
      </c>
      <c r="AJ24" s="101" t="n">
        <v>21</v>
      </c>
      <c r="AK24" s="102" t="n">
        <v>45194</v>
      </c>
      <c r="AL24" s="103" t="str">
        <f aca="false">IF(AK24="","",CHOOSE(WEEKDAY(AK24,2),"Mon","Tue","Wed","Thu","Fri","Sat","Sun"))</f>
        <v>Mon</v>
      </c>
      <c r="AM24" s="104" t="n">
        <f aca="false">IF(ISNA(VLOOKUP(WEEKDAY(AK24,2),val_arr,HLOOKUP(AK24,date_arr,2))),"",VLOOKUP(WEEKDAY(AK24,2),val_arr,HLOOKUP(AK24,date_arr,2)))</f>
        <v>100</v>
      </c>
      <c r="AN24" s="105"/>
      <c r="AO24" s="108" t="s">
        <v>192</v>
      </c>
      <c r="AP24" s="107" t="str">
        <f aca="false">IF(AN24="","",AM24-AN24)</f>
        <v/>
      </c>
      <c r="AQ24" s="101" t="n">
        <v>21</v>
      </c>
      <c r="AR24" s="102" t="n">
        <v>45224</v>
      </c>
      <c r="AS24" s="103" t="str">
        <f aca="false">IF(AR24="","",CHOOSE(WEEKDAY(AR24,2),"Mon","Tue","Wed","Thu","Fri","Sat","Sun"))</f>
        <v>Wed</v>
      </c>
      <c r="AT24" s="104" t="n">
        <f aca="false">IF(ISNA(VLOOKUP(WEEKDAY(AR24,2),val_arr,HLOOKUP(AR24,date_arr,2))),"",VLOOKUP(WEEKDAY(AR24,2),val_arr,HLOOKUP(AR24,date_arr,2)))</f>
        <v>100</v>
      </c>
      <c r="AU24" s="105"/>
      <c r="AV24" s="108" t="s">
        <v>192</v>
      </c>
      <c r="AW24" s="107" t="str">
        <f aca="false">IF(AU24="","",AT24-AU24)</f>
        <v/>
      </c>
    </row>
    <row r="25" customFormat="false" ht="21" hidden="false" customHeight="true" outlineLevel="0" collapsed="false">
      <c r="A25" s="101" t="n">
        <v>22</v>
      </c>
      <c r="B25" s="102" t="n">
        <v>45042</v>
      </c>
      <c r="C25" s="103" t="str">
        <f aca="false">IF(B25="","",CHOOSE(WEEKDAY(B25,2),"Mon","Tue","Wed","Thu","Fri","Sat","Sun"))</f>
        <v>Wed</v>
      </c>
      <c r="D25" s="104" t="n">
        <f aca="false">IF(ISNA(VLOOKUP(WEEKDAY(B25,2),val_arr,HLOOKUP(B25,date_arr,2))),"",VLOOKUP(WEEKDAY(B25,2),val_arr,HLOOKUP(B25,date_arr,2)))</f>
        <v>100</v>
      </c>
      <c r="E25" s="105" t="n">
        <f aca="false">0+60-0</f>
        <v>60</v>
      </c>
      <c r="F25" s="106" t="n">
        <v>0</v>
      </c>
      <c r="G25" s="107" t="n">
        <f aca="false">IF(E25="","",D25-E25)</f>
        <v>40</v>
      </c>
      <c r="H25" s="101" t="n">
        <v>22</v>
      </c>
      <c r="I25" s="102" t="n">
        <v>45072</v>
      </c>
      <c r="J25" s="103" t="str">
        <f aca="false">IF(I25="","",CHOOSE(WEEKDAY(I25,2),"Mon","Tue","Wed","Thu","Fri","Sat","Sun"))</f>
        <v>Fri</v>
      </c>
      <c r="K25" s="104" t="n">
        <f aca="false">IF(ISNA(VLOOKUP(WEEKDAY(I25,2),val_arr,HLOOKUP(I25,date_arr,2))),"",VLOOKUP(WEEKDAY(I25,2),val_arr,HLOOKUP(I25,date_arr,2)))</f>
        <v>100</v>
      </c>
      <c r="L25" s="105" t="n">
        <f aca="false">0+40+23+28+9-0-9</f>
        <v>91</v>
      </c>
      <c r="M25" s="106" t="n">
        <v>0</v>
      </c>
      <c r="N25" s="107" t="n">
        <f aca="false">IF(L25="","",K25-L25)</f>
        <v>9</v>
      </c>
      <c r="O25" s="101" t="n">
        <v>22</v>
      </c>
      <c r="P25" s="102" t="n">
        <v>45103</v>
      </c>
      <c r="Q25" s="103" t="str">
        <f aca="false">IF(P25="","",CHOOSE(WEEKDAY(P25,2),"Mon","Tue","Wed","Thu","Fri","Sat","Sun"))</f>
        <v>Mon</v>
      </c>
      <c r="R25" s="104" t="n">
        <f aca="false">IF(ISNA(VLOOKUP(WEEKDAY(P25,2),val_arr,HLOOKUP(P25,date_arr,2))),"",VLOOKUP(WEEKDAY(P25,2),val_arr,HLOOKUP(P25,date_arr,2)))</f>
        <v>100</v>
      </c>
      <c r="S25" s="105" t="n">
        <f aca="false">0+32</f>
        <v>32</v>
      </c>
      <c r="T25" s="106" t="n">
        <v>0</v>
      </c>
      <c r="U25" s="107" t="n">
        <f aca="false">IF(S25="","",R25-S25)</f>
        <v>68</v>
      </c>
      <c r="V25" s="101" t="n">
        <v>22</v>
      </c>
      <c r="W25" s="102" t="n">
        <v>45133</v>
      </c>
      <c r="X25" s="103" t="str">
        <f aca="false">IF(W25="","",CHOOSE(WEEKDAY(W25,2),"Mon","Tue","Wed","Thu","Fri","Sat","Sun"))</f>
        <v>Wed</v>
      </c>
      <c r="Y25" s="104" t="n">
        <f aca="false">IF(ISNA(VLOOKUP(WEEKDAY(W25,2),val_arr,HLOOKUP(W25,date_arr,2))),"",VLOOKUP(WEEKDAY(W25,2),val_arr,HLOOKUP(W25,date_arr,2)))</f>
        <v>100</v>
      </c>
      <c r="Z25" s="105" t="n">
        <f aca="false">0+50+11</f>
        <v>61</v>
      </c>
      <c r="AA25" s="106" t="n">
        <v>0</v>
      </c>
      <c r="AB25" s="107" t="n">
        <f aca="false">IF(Z25="","",Y25-Z25)</f>
        <v>39</v>
      </c>
      <c r="AC25" s="101" t="n">
        <v>22</v>
      </c>
      <c r="AD25" s="102" t="n">
        <v>45164</v>
      </c>
      <c r="AE25" s="103" t="str">
        <f aca="false">IF(AD25="","",CHOOSE(WEEKDAY(AD25,2),"Mon","Tue","Wed","Thu","Fri","Sat","Sun"))</f>
        <v>Sat</v>
      </c>
      <c r="AF25" s="104" t="n">
        <f aca="false">IF(ISNA(VLOOKUP(WEEKDAY(AD25,2),val_arr,HLOOKUP(AD25,date_arr,2))),"",VLOOKUP(WEEKDAY(AD25,2),val_arr,HLOOKUP(AD25,date_arr,2)))</f>
        <v>100</v>
      </c>
      <c r="AG25" s="105"/>
      <c r="AH25" s="106"/>
      <c r="AI25" s="107" t="str">
        <f aca="false">IF(AG25="","",AF25-AG25)</f>
        <v/>
      </c>
      <c r="AJ25" s="101" t="n">
        <v>22</v>
      </c>
      <c r="AK25" s="102" t="n">
        <v>45195</v>
      </c>
      <c r="AL25" s="103" t="str">
        <f aca="false">IF(AK25="","",CHOOSE(WEEKDAY(AK25,2),"Mon","Tue","Wed","Thu","Fri","Sat","Sun"))</f>
        <v>Tue</v>
      </c>
      <c r="AM25" s="104" t="n">
        <f aca="false">IF(ISNA(VLOOKUP(WEEKDAY(AK25,2),val_arr,HLOOKUP(AK25,date_arr,2))),"",VLOOKUP(WEEKDAY(AK25,2),val_arr,HLOOKUP(AK25,date_arr,2)))</f>
        <v>100</v>
      </c>
      <c r="AN25" s="105"/>
      <c r="AO25" s="106"/>
      <c r="AP25" s="107" t="str">
        <f aca="false">IF(AN25="","",AM25-AN25)</f>
        <v/>
      </c>
      <c r="AQ25" s="101" t="n">
        <v>22</v>
      </c>
      <c r="AR25" s="102" t="n">
        <v>45225</v>
      </c>
      <c r="AS25" s="103" t="str">
        <f aca="false">IF(AR25="","",CHOOSE(WEEKDAY(AR25,2),"Mon","Tue","Wed","Thu","Fri","Sat","Sun"))</f>
        <v>Thu</v>
      </c>
      <c r="AT25" s="104" t="n">
        <f aca="false">IF(ISNA(VLOOKUP(WEEKDAY(AR25,2),val_arr,HLOOKUP(AR25,date_arr,2))),"",VLOOKUP(WEEKDAY(AR25,2),val_arr,HLOOKUP(AR25,date_arr,2)))</f>
        <v>100</v>
      </c>
      <c r="AU25" s="105"/>
      <c r="AV25" s="106"/>
      <c r="AW25" s="107" t="str">
        <f aca="false">IF(AU25="","",AT25-AU25)</f>
        <v/>
      </c>
    </row>
    <row r="26" customFormat="false" ht="21" hidden="false" customHeight="true" outlineLevel="0" collapsed="false">
      <c r="A26" s="101" t="n">
        <v>23</v>
      </c>
      <c r="B26" s="102" t="n">
        <v>45043</v>
      </c>
      <c r="C26" s="103" t="str">
        <f aca="false">IF(B26="","",CHOOSE(WEEKDAY(B26,2),"Mon","Tue","Wed","Thu","Fri","Sat","Sun"))</f>
        <v>Thu</v>
      </c>
      <c r="D26" s="104" t="n">
        <f aca="false">IF(ISNA(VLOOKUP(WEEKDAY(B26,2),val_arr,HLOOKUP(B26,date_arr,2))),"",VLOOKUP(WEEKDAY(B26,2),val_arr,HLOOKUP(B26,date_arr,2)))</f>
        <v>100</v>
      </c>
      <c r="E26" s="105" t="n">
        <f aca="false">0+40-0</f>
        <v>40</v>
      </c>
      <c r="F26" s="106" t="n">
        <v>0</v>
      </c>
      <c r="G26" s="107" t="n">
        <f aca="false">IF(E26="","",D26-E26)</f>
        <v>60</v>
      </c>
      <c r="H26" s="101" t="n">
        <v>23</v>
      </c>
      <c r="I26" s="102" t="n">
        <v>45073</v>
      </c>
      <c r="J26" s="103" t="str">
        <f aca="false">IF(I26="","",CHOOSE(WEEKDAY(I26,2),"Mon","Tue","Wed","Thu","Fri","Sat","Sun"))</f>
        <v>Sat</v>
      </c>
      <c r="K26" s="104" t="n">
        <f aca="false">IF(ISNA(VLOOKUP(WEEKDAY(I26,2),val_arr,HLOOKUP(I26,date_arr,2))),"",VLOOKUP(WEEKDAY(I26,2),val_arr,HLOOKUP(I26,date_arr,2)))</f>
        <v>100</v>
      </c>
      <c r="L26" s="105" t="n">
        <f aca="false">0+40+34-0</f>
        <v>74</v>
      </c>
      <c r="M26" s="106" t="n">
        <v>0</v>
      </c>
      <c r="N26" s="107" t="n">
        <f aca="false">IF(L26="","",K26-L26)</f>
        <v>26</v>
      </c>
      <c r="O26" s="101" t="n">
        <v>23</v>
      </c>
      <c r="P26" s="102" t="n">
        <v>45104</v>
      </c>
      <c r="Q26" s="103" t="str">
        <f aca="false">IF(P26="","",CHOOSE(WEEKDAY(P26,2),"Mon","Tue","Wed","Thu","Fri","Sat","Sun"))</f>
        <v>Tue</v>
      </c>
      <c r="R26" s="104" t="n">
        <f aca="false">IF(ISNA(VLOOKUP(WEEKDAY(P26,2),val_arr,HLOOKUP(P26,date_arr,2))),"",VLOOKUP(WEEKDAY(P26,2),val_arr,HLOOKUP(P26,date_arr,2)))</f>
        <v>100</v>
      </c>
      <c r="S26" s="105" t="n">
        <f aca="false">0+40+29</f>
        <v>69</v>
      </c>
      <c r="T26" s="106" t="n">
        <v>0</v>
      </c>
      <c r="U26" s="107" t="n">
        <f aca="false">IF(S26="","",R26-S26)</f>
        <v>31</v>
      </c>
      <c r="V26" s="101" t="n">
        <v>23</v>
      </c>
      <c r="W26" s="102" t="n">
        <v>45134</v>
      </c>
      <c r="X26" s="103" t="str">
        <f aca="false">IF(W26="","",CHOOSE(WEEKDAY(W26,2),"Mon","Tue","Wed","Thu","Fri","Sat","Sun"))</f>
        <v>Thu</v>
      </c>
      <c r="Y26" s="104" t="n">
        <f aca="false">IF(ISNA(VLOOKUP(WEEKDAY(W26,2),val_arr,HLOOKUP(W26,date_arr,2))),"",VLOOKUP(WEEKDAY(W26,2),val_arr,HLOOKUP(W26,date_arr,2)))</f>
        <v>100</v>
      </c>
      <c r="Z26" s="105" t="n">
        <f aca="false">0+46+27</f>
        <v>73</v>
      </c>
      <c r="AA26" s="106" t="n">
        <v>0</v>
      </c>
      <c r="AB26" s="107" t="n">
        <f aca="false">IF(Z26="","",Y26-Z26)</f>
        <v>27</v>
      </c>
      <c r="AC26" s="101" t="n">
        <v>23</v>
      </c>
      <c r="AD26" s="102" t="n">
        <v>45165</v>
      </c>
      <c r="AE26" s="103" t="str">
        <f aca="false">IF(AD26="","",CHOOSE(WEEKDAY(AD26,2),"Mon","Tue","Wed","Thu","Fri","Sat","Sun"))</f>
        <v>Sun</v>
      </c>
      <c r="AF26" s="104" t="n">
        <f aca="false">IF(ISNA(VLOOKUP(WEEKDAY(AD26,2),val_arr,HLOOKUP(AD26,date_arr,2))),"",VLOOKUP(WEEKDAY(AD26,2),val_arr,HLOOKUP(AD26,date_arr,2)))</f>
        <v>100</v>
      </c>
      <c r="AG26" s="105"/>
      <c r="AH26" s="112" t="s">
        <v>193</v>
      </c>
      <c r="AI26" s="107" t="str">
        <f aca="false">IF(AG26="","",AF26-AG26)</f>
        <v/>
      </c>
      <c r="AJ26" s="101" t="n">
        <v>23</v>
      </c>
      <c r="AK26" s="102" t="n">
        <v>45196</v>
      </c>
      <c r="AL26" s="103" t="str">
        <f aca="false">IF(AK26="","",CHOOSE(WEEKDAY(AK26,2),"Mon","Tue","Wed","Thu","Fri","Sat","Sun"))</f>
        <v>Wed</v>
      </c>
      <c r="AM26" s="104" t="n">
        <f aca="false">IF(ISNA(VLOOKUP(WEEKDAY(AK26,2),val_arr,HLOOKUP(AK26,date_arr,2))),"",VLOOKUP(WEEKDAY(AK26,2),val_arr,HLOOKUP(AK26,date_arr,2)))</f>
        <v>100</v>
      </c>
      <c r="AN26" s="105"/>
      <c r="AO26" s="112" t="s">
        <v>193</v>
      </c>
      <c r="AP26" s="107" t="str">
        <f aca="false">IF(AN26="","",AM26-AN26)</f>
        <v/>
      </c>
      <c r="AQ26" s="101" t="n">
        <v>23</v>
      </c>
      <c r="AR26" s="102" t="n">
        <v>45226</v>
      </c>
      <c r="AS26" s="103" t="str">
        <f aca="false">IF(AR26="","",CHOOSE(WEEKDAY(AR26,2),"Mon","Tue","Wed","Thu","Fri","Sat","Sun"))</f>
        <v>Fri</v>
      </c>
      <c r="AT26" s="104" t="n">
        <f aca="false">IF(ISNA(VLOOKUP(WEEKDAY(AR26,2),val_arr,HLOOKUP(AR26,date_arr,2))),"",VLOOKUP(WEEKDAY(AR26,2),val_arr,HLOOKUP(AR26,date_arr,2)))</f>
        <v>100</v>
      </c>
      <c r="AU26" s="105"/>
      <c r="AV26" s="112" t="s">
        <v>193</v>
      </c>
      <c r="AW26" s="107" t="str">
        <f aca="false">IF(AU26="","",AT26-AU26)</f>
        <v/>
      </c>
    </row>
    <row r="27" customFormat="false" ht="21" hidden="false" customHeight="true" outlineLevel="0" collapsed="false">
      <c r="A27" s="101" t="n">
        <v>24</v>
      </c>
      <c r="B27" s="102" t="n">
        <v>45044</v>
      </c>
      <c r="C27" s="103" t="str">
        <f aca="false">IF(B27="","",CHOOSE(WEEKDAY(B27,2),"Mon","Tue","Wed","Thu","Fri","Sat","Sun"))</f>
        <v>Fri</v>
      </c>
      <c r="D27" s="104" t="n">
        <f aca="false">IF(ISNA(VLOOKUP(WEEKDAY(B27,2),val_arr,HLOOKUP(B27,date_arr,2))),"",VLOOKUP(WEEKDAY(B27,2),val_arr,HLOOKUP(B27,date_arr,2)))</f>
        <v>100</v>
      </c>
      <c r="E27" s="105" t="n">
        <f aca="false">0+40-0</f>
        <v>40</v>
      </c>
      <c r="F27" s="106" t="n">
        <v>0</v>
      </c>
      <c r="G27" s="107" t="n">
        <f aca="false">IF(E27="","",D27-E27)</f>
        <v>60</v>
      </c>
      <c r="H27" s="101" t="n">
        <v>24</v>
      </c>
      <c r="I27" s="102" t="n">
        <v>45074</v>
      </c>
      <c r="J27" s="103" t="str">
        <f aca="false">IF(I27="","",CHOOSE(WEEKDAY(I27,2),"Mon","Tue","Wed","Thu","Fri","Sat","Sun"))</f>
        <v>Sun</v>
      </c>
      <c r="K27" s="104" t="n">
        <f aca="false">IF(ISNA(VLOOKUP(WEEKDAY(I27,2),val_arr,HLOOKUP(I27,date_arr,2))),"",VLOOKUP(WEEKDAY(I27,2),val_arr,HLOOKUP(I27,date_arr,2)))</f>
        <v>100</v>
      </c>
      <c r="L27" s="105" t="n">
        <f aca="false">0+20+20+14</f>
        <v>54</v>
      </c>
      <c r="M27" s="106" t="n">
        <v>0</v>
      </c>
      <c r="N27" s="107" t="n">
        <f aca="false">IF(L27="","",K27-L27)</f>
        <v>46</v>
      </c>
      <c r="O27" s="101" t="n">
        <v>24</v>
      </c>
      <c r="P27" s="102" t="n">
        <v>45105</v>
      </c>
      <c r="Q27" s="103" t="str">
        <f aca="false">IF(P27="","",CHOOSE(WEEKDAY(P27,2),"Mon","Tue","Wed","Thu","Fri","Sat","Sun"))</f>
        <v>Wed</v>
      </c>
      <c r="R27" s="104" t="n">
        <f aca="false">IF(ISNA(VLOOKUP(WEEKDAY(P27,2),val_arr,HLOOKUP(P27,date_arr,2))),"",VLOOKUP(WEEKDAY(P27,2),val_arr,HLOOKUP(P27,date_arr,2)))</f>
        <v>100</v>
      </c>
      <c r="S27" s="105" t="n">
        <f aca="false">0+40+25+36</f>
        <v>101</v>
      </c>
      <c r="T27" s="106" t="n">
        <v>0</v>
      </c>
      <c r="U27" s="107" t="n">
        <f aca="false">IF(S27="","",R27-S27)</f>
        <v>-1</v>
      </c>
      <c r="V27" s="101" t="n">
        <v>24</v>
      </c>
      <c r="W27" s="102" t="n">
        <v>45135</v>
      </c>
      <c r="X27" s="103" t="str">
        <f aca="false">IF(W27="","",CHOOSE(WEEKDAY(W27,2),"Mon","Tue","Wed","Thu","Fri","Sat","Sun"))</f>
        <v>Fri</v>
      </c>
      <c r="Y27" s="104" t="n">
        <f aca="false">IF(ISNA(VLOOKUP(WEEKDAY(W27,2),val_arr,HLOOKUP(W27,date_arr,2))),"",VLOOKUP(WEEKDAY(W27,2),val_arr,HLOOKUP(W27,date_arr,2)))</f>
        <v>100</v>
      </c>
      <c r="Z27" s="105" t="n">
        <f aca="false">0+35</f>
        <v>35</v>
      </c>
      <c r="AA27" s="106" t="n">
        <v>0</v>
      </c>
      <c r="AB27" s="107" t="n">
        <f aca="false">IF(Z27="","",Y27-Z27)</f>
        <v>65</v>
      </c>
      <c r="AC27" s="101" t="n">
        <v>24</v>
      </c>
      <c r="AD27" s="102" t="n">
        <v>45166</v>
      </c>
      <c r="AE27" s="103" t="str">
        <f aca="false">IF(AD27="","",CHOOSE(WEEKDAY(AD27,2),"Mon","Tue","Wed","Thu","Fri","Sat","Sun"))</f>
        <v>Mon</v>
      </c>
      <c r="AF27" s="104" t="n">
        <f aca="false">IF(ISNA(VLOOKUP(WEEKDAY(AD27,2),val_arr,HLOOKUP(AD27,date_arr,2))),"",VLOOKUP(WEEKDAY(AD27,2),val_arr,HLOOKUP(AD27,date_arr,2)))</f>
        <v>100</v>
      </c>
      <c r="AG27" s="105"/>
      <c r="AH27" s="108" t="s">
        <v>194</v>
      </c>
      <c r="AI27" s="107" t="str">
        <f aca="false">IF(AG27="","",AF27-AG27)</f>
        <v/>
      </c>
      <c r="AJ27" s="101" t="n">
        <v>24</v>
      </c>
      <c r="AK27" s="102" t="n">
        <v>45197</v>
      </c>
      <c r="AL27" s="103" t="str">
        <f aca="false">IF(AK27="","",CHOOSE(WEEKDAY(AK27,2),"Mon","Tue","Wed","Thu","Fri","Sat","Sun"))</f>
        <v>Thu</v>
      </c>
      <c r="AM27" s="104" t="n">
        <f aca="false">IF(ISNA(VLOOKUP(WEEKDAY(AK27,2),val_arr,HLOOKUP(AK27,date_arr,2))),"",VLOOKUP(WEEKDAY(AK27,2),val_arr,HLOOKUP(AK27,date_arr,2)))</f>
        <v>100</v>
      </c>
      <c r="AN27" s="105"/>
      <c r="AO27" s="108" t="s">
        <v>194</v>
      </c>
      <c r="AP27" s="107" t="str">
        <f aca="false">IF(AN27="","",AM27-AN27)</f>
        <v/>
      </c>
      <c r="AQ27" s="101" t="n">
        <v>24</v>
      </c>
      <c r="AR27" s="102" t="n">
        <v>45227</v>
      </c>
      <c r="AS27" s="103" t="str">
        <f aca="false">IF(AR27="","",CHOOSE(WEEKDAY(AR27,2),"Mon","Tue","Wed","Thu","Fri","Sat","Sun"))</f>
        <v>Sat</v>
      </c>
      <c r="AT27" s="104" t="n">
        <f aca="false">IF(ISNA(VLOOKUP(WEEKDAY(AR27,2),val_arr,HLOOKUP(AR27,date_arr,2))),"",VLOOKUP(WEEKDAY(AR27,2),val_arr,HLOOKUP(AR27,date_arr,2)))</f>
        <v>100</v>
      </c>
      <c r="AU27" s="105"/>
      <c r="AV27" s="108" t="s">
        <v>194</v>
      </c>
      <c r="AW27" s="107" t="str">
        <f aca="false">IF(AU27="","",AT27-AU27)</f>
        <v/>
      </c>
    </row>
    <row r="28" customFormat="false" ht="21" hidden="false" customHeight="true" outlineLevel="0" collapsed="false">
      <c r="A28" s="101" t="n">
        <v>25</v>
      </c>
      <c r="B28" s="102" t="n">
        <v>45045</v>
      </c>
      <c r="C28" s="103" t="str">
        <f aca="false">IF(B28="","",CHOOSE(WEEKDAY(B28,2),"Mon","Tue","Wed","Thu","Fri","Sat","Sun"))</f>
        <v>Sat</v>
      </c>
      <c r="D28" s="104" t="n">
        <f aca="false">IF(ISNA(VLOOKUP(WEEKDAY(B28,2),val_arr,HLOOKUP(B28,date_arr,2))),"",VLOOKUP(WEEKDAY(B28,2),val_arr,HLOOKUP(B28,date_arr,2)))</f>
        <v>100</v>
      </c>
      <c r="E28" s="105" t="n">
        <f aca="false">0+61-0</f>
        <v>61</v>
      </c>
      <c r="F28" s="106" t="n">
        <v>0</v>
      </c>
      <c r="G28" s="107" t="n">
        <f aca="false">IF(E28="","",D28-E28)</f>
        <v>39</v>
      </c>
      <c r="H28" s="101" t="n">
        <v>25</v>
      </c>
      <c r="I28" s="102" t="n">
        <v>45075</v>
      </c>
      <c r="J28" s="103" t="str">
        <f aca="false">IF(I28="","",CHOOSE(WEEKDAY(I28,2),"Mon","Tue","Wed","Thu","Fri","Sat","Sun"))</f>
        <v>Mon</v>
      </c>
      <c r="K28" s="104" t="n">
        <f aca="false">IF(ISNA(VLOOKUP(WEEKDAY(I28,2),val_arr,HLOOKUP(I28,date_arr,2))),"",VLOOKUP(WEEKDAY(I28,2),val_arr,HLOOKUP(I28,date_arr,2)))</f>
        <v>100</v>
      </c>
      <c r="L28" s="105" t="n">
        <f aca="false">0+40+20+28</f>
        <v>88</v>
      </c>
      <c r="M28" s="106" t="n">
        <v>0</v>
      </c>
      <c r="N28" s="107" t="n">
        <f aca="false">IF(L28="","",K28-L28)</f>
        <v>12</v>
      </c>
      <c r="O28" s="101" t="n">
        <v>25</v>
      </c>
      <c r="P28" s="102" t="n">
        <v>45106</v>
      </c>
      <c r="Q28" s="103" t="str">
        <f aca="false">IF(P28="","",CHOOSE(WEEKDAY(P28,2),"Mon","Tue","Wed","Thu","Fri","Sat","Sun"))</f>
        <v>Thu</v>
      </c>
      <c r="R28" s="104" t="n">
        <f aca="false">IF(ISNA(VLOOKUP(WEEKDAY(P28,2),val_arr,HLOOKUP(P28,date_arr,2))),"",VLOOKUP(WEEKDAY(P28,2),val_arr,HLOOKUP(P28,date_arr,2)))</f>
        <v>100</v>
      </c>
      <c r="S28" s="105" t="n">
        <f aca="false">0+40+11</f>
        <v>51</v>
      </c>
      <c r="T28" s="106" t="n">
        <v>0</v>
      </c>
      <c r="U28" s="107" t="n">
        <f aca="false">IF(S28="","",R28-S28)</f>
        <v>49</v>
      </c>
      <c r="V28" s="101" t="n">
        <v>25</v>
      </c>
      <c r="W28" s="102" t="n">
        <v>45136</v>
      </c>
      <c r="X28" s="103" t="str">
        <f aca="false">IF(W28="","",CHOOSE(WEEKDAY(W28,2),"Mon","Tue","Wed","Thu","Fri","Sat","Sun"))</f>
        <v>Sat</v>
      </c>
      <c r="Y28" s="104" t="n">
        <f aca="false">IF(ISNA(VLOOKUP(WEEKDAY(W28,2),val_arr,HLOOKUP(W28,date_arr,2))),"",VLOOKUP(WEEKDAY(W28,2),val_arr,HLOOKUP(W28,date_arr,2)))</f>
        <v>100</v>
      </c>
      <c r="Z28" s="105" t="n">
        <f aca="false">0+17+36+43-15-20</f>
        <v>61</v>
      </c>
      <c r="AA28" s="106" t="n">
        <v>0</v>
      </c>
      <c r="AB28" s="107" t="n">
        <f aca="false">IF(Z28="","",Y28-Z28)</f>
        <v>39</v>
      </c>
      <c r="AC28" s="101" t="n">
        <v>25</v>
      </c>
      <c r="AD28" s="102" t="n">
        <v>45167</v>
      </c>
      <c r="AE28" s="103" t="str">
        <f aca="false">IF(AD28="","",CHOOSE(WEEKDAY(AD28,2),"Mon","Tue","Wed","Thu","Fri","Sat","Sun"))</f>
        <v>Tue</v>
      </c>
      <c r="AF28" s="104" t="n">
        <f aca="false">IF(ISNA(VLOOKUP(WEEKDAY(AD28,2),val_arr,HLOOKUP(AD28,date_arr,2))),"",VLOOKUP(WEEKDAY(AD28,2),val_arr,HLOOKUP(AD28,date_arr,2)))</f>
        <v>100</v>
      </c>
      <c r="AG28" s="105"/>
      <c r="AH28" s="106"/>
      <c r="AI28" s="107" t="str">
        <f aca="false">IF(AG28="","",AF28-AG28)</f>
        <v/>
      </c>
      <c r="AJ28" s="101" t="n">
        <v>25</v>
      </c>
      <c r="AK28" s="102" t="n">
        <v>45198</v>
      </c>
      <c r="AL28" s="103" t="str">
        <f aca="false">IF(AK28="","",CHOOSE(WEEKDAY(AK28,2),"Mon","Tue","Wed","Thu","Fri","Sat","Sun"))</f>
        <v>Fri</v>
      </c>
      <c r="AM28" s="104" t="n">
        <f aca="false">IF(ISNA(VLOOKUP(WEEKDAY(AK28,2),val_arr,HLOOKUP(AK28,date_arr,2))),"",VLOOKUP(WEEKDAY(AK28,2),val_arr,HLOOKUP(AK28,date_arr,2)))</f>
        <v>100</v>
      </c>
      <c r="AN28" s="105"/>
      <c r="AO28" s="106"/>
      <c r="AP28" s="107" t="str">
        <f aca="false">IF(AN28="","",AM28-AN28)</f>
        <v/>
      </c>
      <c r="AQ28" s="101" t="n">
        <v>25</v>
      </c>
      <c r="AR28" s="102" t="n">
        <v>45228</v>
      </c>
      <c r="AS28" s="103" t="str">
        <f aca="false">IF(AR28="","",CHOOSE(WEEKDAY(AR28,2),"Mon","Tue","Wed","Thu","Fri","Sat","Sun"))</f>
        <v>Sun</v>
      </c>
      <c r="AT28" s="104" t="n">
        <f aca="false">IF(ISNA(VLOOKUP(WEEKDAY(AR28,2),val_arr,HLOOKUP(AR28,date_arr,2))),"",VLOOKUP(WEEKDAY(AR28,2),val_arr,HLOOKUP(AR28,date_arr,2)))</f>
        <v>100</v>
      </c>
      <c r="AU28" s="105"/>
      <c r="AV28" s="106"/>
      <c r="AW28" s="107" t="str">
        <f aca="false">IF(AU28="","",AT28-AU28)</f>
        <v/>
      </c>
    </row>
    <row r="29" customFormat="false" ht="21" hidden="false" customHeight="true" outlineLevel="0" collapsed="false">
      <c r="A29" s="101" t="n">
        <v>26</v>
      </c>
      <c r="B29" s="102" t="n">
        <v>45046</v>
      </c>
      <c r="C29" s="103" t="str">
        <f aca="false">IF(B29="","",CHOOSE(WEEKDAY(B29,2),"Mon","Tue","Wed","Thu","Fri","Sat","Sun"))</f>
        <v>Sun</v>
      </c>
      <c r="D29" s="104" t="n">
        <f aca="false">IF(ISNA(VLOOKUP(WEEKDAY(B29,2),val_arr,HLOOKUP(B29,date_arr,2))),"",VLOOKUP(WEEKDAY(B29,2),val_arr,HLOOKUP(B29,date_arr,2)))</f>
        <v>100</v>
      </c>
      <c r="E29" s="105" t="n">
        <f aca="false">0+98-0-50</f>
        <v>48</v>
      </c>
      <c r="F29" s="106" t="n">
        <v>0</v>
      </c>
      <c r="G29" s="107" t="n">
        <f aca="false">IF(E29="","",D29-E29)</f>
        <v>52</v>
      </c>
      <c r="H29" s="101" t="n">
        <v>26</v>
      </c>
      <c r="I29" s="102" t="n">
        <v>45076</v>
      </c>
      <c r="J29" s="103" t="str">
        <f aca="false">IF(I29="","",CHOOSE(WEEKDAY(I29,2),"Mon","Tue","Wed","Thu","Fri","Sat","Sun"))</f>
        <v>Tue</v>
      </c>
      <c r="K29" s="104" t="n">
        <f aca="false">IF(ISNA(VLOOKUP(WEEKDAY(I29,2),val_arr,HLOOKUP(I29,date_arr,2))),"",VLOOKUP(WEEKDAY(I29,2),val_arr,HLOOKUP(I29,date_arr,2)))</f>
        <v>100</v>
      </c>
      <c r="L29" s="105" t="n">
        <f aca="false">0+40+19+8+29-1-0</f>
        <v>95</v>
      </c>
      <c r="M29" s="106" t="n">
        <v>0</v>
      </c>
      <c r="N29" s="107" t="n">
        <f aca="false">IF(L29="","",K29-L29)</f>
        <v>5</v>
      </c>
      <c r="O29" s="101" t="n">
        <v>26</v>
      </c>
      <c r="P29" s="102" t="n">
        <v>45107</v>
      </c>
      <c r="Q29" s="103" t="str">
        <f aca="false">IF(P29="","",CHOOSE(WEEKDAY(P29,2),"Mon","Tue","Wed","Thu","Fri","Sat","Sun"))</f>
        <v>Fri</v>
      </c>
      <c r="R29" s="104" t="n">
        <f aca="false">IF(ISNA(VLOOKUP(WEEKDAY(P29,2),val_arr,HLOOKUP(P29,date_arr,2))),"",VLOOKUP(WEEKDAY(P29,2),val_arr,HLOOKUP(P29,date_arr,2)))</f>
        <v>100</v>
      </c>
      <c r="S29" s="105" t="n">
        <f aca="false">0+40+15</f>
        <v>55</v>
      </c>
      <c r="T29" s="106" t="n">
        <v>0</v>
      </c>
      <c r="U29" s="107" t="n">
        <f aca="false">IF(S29="","",R29-S29)</f>
        <v>45</v>
      </c>
      <c r="V29" s="101" t="n">
        <v>26</v>
      </c>
      <c r="W29" s="102" t="n">
        <v>45137</v>
      </c>
      <c r="X29" s="103" t="str">
        <f aca="false">IF(W29="","",CHOOSE(WEEKDAY(W29,2),"Mon","Tue","Wed","Thu","Fri","Sat","Sun"))</f>
        <v>Sun</v>
      </c>
      <c r="Y29" s="104" t="n">
        <f aca="false">IF(ISNA(VLOOKUP(WEEKDAY(W29,2),val_arr,HLOOKUP(W29,date_arr,2))),"",VLOOKUP(WEEKDAY(W29,2),val_arr,HLOOKUP(W29,date_arr,2)))</f>
        <v>100</v>
      </c>
      <c r="Z29" s="105" t="n">
        <f aca="false">0+0</f>
        <v>0</v>
      </c>
      <c r="AA29" s="106" t="n">
        <v>0</v>
      </c>
      <c r="AB29" s="107" t="n">
        <f aca="false">IF(Z29="","",Y29-Z29)</f>
        <v>100</v>
      </c>
      <c r="AC29" s="101" t="n">
        <v>26</v>
      </c>
      <c r="AD29" s="102" t="n">
        <v>45168</v>
      </c>
      <c r="AE29" s="103" t="str">
        <f aca="false">IF(AD29="","",CHOOSE(WEEKDAY(AD29,2),"Mon","Tue","Wed","Thu","Fri","Sat","Sun"))</f>
        <v>Wed</v>
      </c>
      <c r="AF29" s="104" t="n">
        <f aca="false">IF(ISNA(VLOOKUP(WEEKDAY(AD29,2),val_arr,HLOOKUP(AD29,date_arr,2))),"",VLOOKUP(WEEKDAY(AD29,2),val_arr,HLOOKUP(AD29,date_arr,2)))</f>
        <v>100</v>
      </c>
      <c r="AG29" s="105"/>
      <c r="AH29" s="106" t="s">
        <v>195</v>
      </c>
      <c r="AI29" s="107" t="str">
        <f aca="false">IF(AG29="","",AF29-AG29)</f>
        <v/>
      </c>
      <c r="AJ29" s="101" t="n">
        <v>26</v>
      </c>
      <c r="AK29" s="102" t="n">
        <v>45199</v>
      </c>
      <c r="AL29" s="103" t="str">
        <f aca="false">IF(AK29="","",CHOOSE(WEEKDAY(AK29,2),"Mon","Tue","Wed","Thu","Fri","Sat","Sun"))</f>
        <v>Sat</v>
      </c>
      <c r="AM29" s="104" t="n">
        <f aca="false">IF(ISNA(VLOOKUP(WEEKDAY(AK29,2),val_arr,HLOOKUP(AK29,date_arr,2))),"",VLOOKUP(WEEKDAY(AK29,2),val_arr,HLOOKUP(AK29,date_arr,2)))</f>
        <v>100</v>
      </c>
      <c r="AN29" s="105"/>
      <c r="AO29" s="106" t="s">
        <v>195</v>
      </c>
      <c r="AP29" s="107" t="str">
        <f aca="false">IF(AN29="","",AM29-AN29)</f>
        <v/>
      </c>
      <c r="AQ29" s="101" t="n">
        <v>26</v>
      </c>
      <c r="AR29" s="102" t="n">
        <v>45229</v>
      </c>
      <c r="AS29" s="103" t="str">
        <f aca="false">IF(AR29="","",CHOOSE(WEEKDAY(AR29,2),"Mon","Tue","Wed","Thu","Fri","Sat","Sun"))</f>
        <v>Mon</v>
      </c>
      <c r="AT29" s="104" t="n">
        <f aca="false">IF(ISNA(VLOOKUP(WEEKDAY(AR29,2),val_arr,HLOOKUP(AR29,date_arr,2))),"",VLOOKUP(WEEKDAY(AR29,2),val_arr,HLOOKUP(AR29,date_arr,2)))</f>
        <v>100</v>
      </c>
      <c r="AU29" s="105"/>
      <c r="AV29" s="106" t="s">
        <v>195</v>
      </c>
      <c r="AW29" s="107" t="str">
        <f aca="false">IF(AU29="","",AT29-AU29)</f>
        <v/>
      </c>
    </row>
    <row r="30" customFormat="false" ht="21" hidden="false" customHeight="true" outlineLevel="0" collapsed="false">
      <c r="A30" s="101" t="n">
        <v>27</v>
      </c>
      <c r="B30" s="102" t="n">
        <v>45047</v>
      </c>
      <c r="C30" s="103" t="str">
        <f aca="false">IF(B30="","",CHOOSE(WEEKDAY(B30,2),"Mon","Tue","Wed","Thu","Fri","Sat","Sun"))</f>
        <v>Mon</v>
      </c>
      <c r="D30" s="104" t="n">
        <f aca="false">IF(ISNA(VLOOKUP(WEEKDAY(B30,2),val_arr,HLOOKUP(B30,date_arr,2))),"",VLOOKUP(WEEKDAY(B30,2),val_arr,HLOOKUP(B30,date_arr,2)))</f>
        <v>100</v>
      </c>
      <c r="E30" s="105" t="n">
        <f aca="false">0+54-0</f>
        <v>54</v>
      </c>
      <c r="F30" s="106" t="n">
        <v>0</v>
      </c>
      <c r="G30" s="107" t="n">
        <f aca="false">IF(E30="","",D30-E30)</f>
        <v>46</v>
      </c>
      <c r="H30" s="101" t="n">
        <v>27</v>
      </c>
      <c r="I30" s="102" t="n">
        <v>45077</v>
      </c>
      <c r="J30" s="103" t="str">
        <f aca="false">IF(I30="","",CHOOSE(WEEKDAY(I30,2),"Mon","Tue","Wed","Thu","Fri","Sat","Sun"))</f>
        <v>Wed</v>
      </c>
      <c r="K30" s="104" t="n">
        <f aca="false">IF(ISNA(VLOOKUP(WEEKDAY(I30,2),val_arr,HLOOKUP(I30,date_arr,2))),"",VLOOKUP(WEEKDAY(I30,2),val_arr,HLOOKUP(I30,date_arr,2)))</f>
        <v>100</v>
      </c>
      <c r="L30" s="105" t="n">
        <f aca="false">0+40+45-0</f>
        <v>85</v>
      </c>
      <c r="M30" s="106" t="n">
        <v>0</v>
      </c>
      <c r="N30" s="107" t="n">
        <f aca="false">IF(L30="","",K30-L30)</f>
        <v>15</v>
      </c>
      <c r="O30" s="101" t="n">
        <v>27</v>
      </c>
      <c r="P30" s="102" t="n">
        <v>45108</v>
      </c>
      <c r="Q30" s="103" t="str">
        <f aca="false">IF(P30="","",CHOOSE(WEEKDAY(P30,2),"Mon","Tue","Wed","Thu","Fri","Sat","Sun"))</f>
        <v>Sat</v>
      </c>
      <c r="R30" s="104" t="n">
        <f aca="false">IF(ISNA(VLOOKUP(WEEKDAY(P30,2),val_arr,HLOOKUP(P30,date_arr,2))),"",VLOOKUP(WEEKDAY(P30,2),val_arr,HLOOKUP(P30,date_arr,2)))</f>
        <v>100</v>
      </c>
      <c r="S30" s="105" t="n">
        <f aca="false">0+40+15+28</f>
        <v>83</v>
      </c>
      <c r="T30" s="106" t="n">
        <v>0</v>
      </c>
      <c r="U30" s="107" t="n">
        <f aca="false">IF(S30="","",R30-S30)</f>
        <v>17</v>
      </c>
      <c r="V30" s="101" t="n">
        <v>27</v>
      </c>
      <c r="W30" s="102" t="n">
        <v>45138</v>
      </c>
      <c r="X30" s="103" t="str">
        <f aca="false">IF(W30="","",CHOOSE(WEEKDAY(W30,2),"Mon","Tue","Wed","Thu","Fri","Sat","Sun"))</f>
        <v>Mon</v>
      </c>
      <c r="Y30" s="104" t="n">
        <f aca="false">IF(ISNA(VLOOKUP(WEEKDAY(W30,2),val_arr,HLOOKUP(W30,date_arr,2))),"",VLOOKUP(WEEKDAY(W30,2),val_arr,HLOOKUP(W30,date_arr,2)))</f>
        <v>100</v>
      </c>
      <c r="Z30" s="105" t="n">
        <f aca="false">0+30</f>
        <v>30</v>
      </c>
      <c r="AA30" s="106" t="n">
        <v>0</v>
      </c>
      <c r="AB30" s="107" t="n">
        <f aca="false">IF(Z30="","",Y30-Z30)</f>
        <v>70</v>
      </c>
      <c r="AC30" s="101" t="n">
        <v>27</v>
      </c>
      <c r="AD30" s="102" t="n">
        <v>45169</v>
      </c>
      <c r="AE30" s="103" t="str">
        <f aca="false">IF(AD30="","",CHOOSE(WEEKDAY(AD30,2),"Mon","Tue","Wed","Thu","Fri","Sat","Sun"))</f>
        <v>Thu</v>
      </c>
      <c r="AF30" s="104" t="n">
        <f aca="false">IF(ISNA(VLOOKUP(WEEKDAY(AD30,2),val_arr,HLOOKUP(AD30,date_arr,2))),"",VLOOKUP(WEEKDAY(AD30,2),val_arr,HLOOKUP(AD30,date_arr,2)))</f>
        <v>100</v>
      </c>
      <c r="AG30" s="105"/>
      <c r="AH30" s="106"/>
      <c r="AI30" s="107" t="str">
        <f aca="false">IF(AG30="","",AF30-AG30)</f>
        <v/>
      </c>
      <c r="AJ30" s="101" t="n">
        <v>27</v>
      </c>
      <c r="AK30" s="102" t="n">
        <v>45200</v>
      </c>
      <c r="AL30" s="103" t="str">
        <f aca="false">IF(AK30="","",CHOOSE(WEEKDAY(AK30,2),"Mon","Tue","Wed","Thu","Fri","Sat","Sun"))</f>
        <v>Sun</v>
      </c>
      <c r="AM30" s="104" t="n">
        <f aca="false">IF(ISNA(VLOOKUP(WEEKDAY(AK30,2),val_arr,HLOOKUP(AK30,date_arr,2))),"",VLOOKUP(WEEKDAY(AK30,2),val_arr,HLOOKUP(AK30,date_arr,2)))</f>
        <v>100</v>
      </c>
      <c r="AN30" s="105"/>
      <c r="AO30" s="106"/>
      <c r="AP30" s="107" t="str">
        <f aca="false">IF(AN30="","",AM30-AN30)</f>
        <v/>
      </c>
      <c r="AQ30" s="101" t="n">
        <v>27</v>
      </c>
      <c r="AR30" s="102" t="n">
        <v>45230</v>
      </c>
      <c r="AS30" s="103" t="str">
        <f aca="false">IF(AR30="","",CHOOSE(WEEKDAY(AR30,2),"Mon","Tue","Wed","Thu","Fri","Sat","Sun"))</f>
        <v>Tue</v>
      </c>
      <c r="AT30" s="104" t="n">
        <f aca="false">IF(ISNA(VLOOKUP(WEEKDAY(AR30,2),val_arr,HLOOKUP(AR30,date_arr,2))),"",VLOOKUP(WEEKDAY(AR30,2),val_arr,HLOOKUP(AR30,date_arr,2)))</f>
        <v>100</v>
      </c>
      <c r="AU30" s="105"/>
      <c r="AV30" s="106"/>
      <c r="AW30" s="107" t="str">
        <f aca="false">IF(AU30="","",AT30-AU30)</f>
        <v/>
      </c>
    </row>
    <row r="31" customFormat="false" ht="21" hidden="false" customHeight="true" outlineLevel="0" collapsed="false">
      <c r="A31" s="101" t="n">
        <v>28</v>
      </c>
      <c r="B31" s="102" t="n">
        <v>45048</v>
      </c>
      <c r="C31" s="103" t="str">
        <f aca="false">IF(B31="","",CHOOSE(WEEKDAY(B31,2),"Mon","Tue","Wed","Thu","Fri","Sat","Sun"))</f>
        <v>Tue</v>
      </c>
      <c r="D31" s="104" t="n">
        <f aca="false">IF(ISNA(VLOOKUP(WEEKDAY(B31,2),val_arr,HLOOKUP(B31,date_arr,2))),"",VLOOKUP(WEEKDAY(B31,2),val_arr,HLOOKUP(B31,date_arr,2)))</f>
        <v>100</v>
      </c>
      <c r="E31" s="105" t="n">
        <f aca="false">0+43-0+14</f>
        <v>57</v>
      </c>
      <c r="F31" s="106" t="n">
        <v>0</v>
      </c>
      <c r="G31" s="107" t="n">
        <f aca="false">IF(E31="","",D31-E31)</f>
        <v>43</v>
      </c>
      <c r="H31" s="101" t="n">
        <v>28</v>
      </c>
      <c r="I31" s="102" t="n">
        <v>45078</v>
      </c>
      <c r="J31" s="103" t="str">
        <f aca="false">IF(I31="","",CHOOSE(WEEKDAY(I31,2),"Mon","Tue","Wed","Thu","Fri","Sat","Sun"))</f>
        <v>Thu</v>
      </c>
      <c r="K31" s="104" t="n">
        <f aca="false">IF(ISNA(VLOOKUP(WEEKDAY(I31,2),val_arr,HLOOKUP(I31,date_arr,2))),"",VLOOKUP(WEEKDAY(I31,2),val_arr,HLOOKUP(I31,date_arr,2)))</f>
        <v>100</v>
      </c>
      <c r="L31" s="105" t="n">
        <f aca="false">0+20+15+28+27-0</f>
        <v>90</v>
      </c>
      <c r="M31" s="106" t="n">
        <v>0</v>
      </c>
      <c r="N31" s="107" t="n">
        <f aca="false">IF(L31="","",K31-L31)</f>
        <v>10</v>
      </c>
      <c r="O31" s="101" t="n">
        <v>28</v>
      </c>
      <c r="P31" s="102" t="n">
        <v>45109</v>
      </c>
      <c r="Q31" s="103" t="str">
        <f aca="false">IF(P31="","",CHOOSE(WEEKDAY(P31,2),"Mon","Tue","Wed","Thu","Fri","Sat","Sun"))</f>
        <v>Sun</v>
      </c>
      <c r="R31" s="104" t="n">
        <f aca="false">IF(ISNA(VLOOKUP(WEEKDAY(P31,2),val_arr,HLOOKUP(P31,date_arr,2))),"",VLOOKUP(WEEKDAY(P31,2),val_arr,HLOOKUP(P31,date_arr,2)))</f>
        <v>100</v>
      </c>
      <c r="S31" s="105" t="n">
        <f aca="false">0+40</f>
        <v>40</v>
      </c>
      <c r="T31" s="106" t="n">
        <v>0</v>
      </c>
      <c r="U31" s="107" t="n">
        <f aca="false">IF(S31="","",R31-S31)</f>
        <v>60</v>
      </c>
      <c r="V31" s="101" t="n">
        <v>28</v>
      </c>
      <c r="W31" s="102" t="n">
        <v>45139</v>
      </c>
      <c r="X31" s="103" t="str">
        <f aca="false">IF(W31="","",CHOOSE(WEEKDAY(W31,2),"Mon","Tue","Wed","Thu","Fri","Sat","Sun"))</f>
        <v>Tue</v>
      </c>
      <c r="Y31" s="104" t="n">
        <f aca="false">IF(ISNA(VLOOKUP(WEEKDAY(W31,2),val_arr,HLOOKUP(W31,date_arr,2))),"",VLOOKUP(WEEKDAY(W31,2),val_arr,HLOOKUP(W31,date_arr,2)))</f>
        <v>100</v>
      </c>
      <c r="Z31" s="105" t="n">
        <f aca="false">0+47</f>
        <v>47</v>
      </c>
      <c r="AA31" s="106" t="n">
        <v>0</v>
      </c>
      <c r="AB31" s="107" t="n">
        <f aca="false">IF(Z31="","",Y31-Z31)</f>
        <v>53</v>
      </c>
      <c r="AC31" s="101" t="n">
        <v>28</v>
      </c>
      <c r="AD31" s="102" t="n">
        <v>45170</v>
      </c>
      <c r="AE31" s="103" t="str">
        <f aca="false">IF(AD31="","",CHOOSE(WEEKDAY(AD31,2),"Mon","Tue","Wed","Thu","Fri","Sat","Sun"))</f>
        <v>Fri</v>
      </c>
      <c r="AF31" s="104" t="n">
        <f aca="false">IF(ISNA(VLOOKUP(WEEKDAY(AD31,2),val_arr,HLOOKUP(AD31,date_arr,2))),"",VLOOKUP(WEEKDAY(AD31,2),val_arr,HLOOKUP(AD31,date_arr,2)))</f>
        <v>100</v>
      </c>
      <c r="AG31" s="105"/>
      <c r="AH31" s="112" t="s">
        <v>196</v>
      </c>
      <c r="AI31" s="107" t="str">
        <f aca="false">IF(AG31="","",AF31-AG31)</f>
        <v/>
      </c>
      <c r="AJ31" s="101" t="n">
        <v>28</v>
      </c>
      <c r="AK31" s="102" t="n">
        <v>45201</v>
      </c>
      <c r="AL31" s="103" t="str">
        <f aca="false">IF(AK31="","",CHOOSE(WEEKDAY(AK31,2),"Mon","Tue","Wed","Thu","Fri","Sat","Sun"))</f>
        <v>Mon</v>
      </c>
      <c r="AM31" s="104" t="n">
        <f aca="false">IF(ISNA(VLOOKUP(WEEKDAY(AK31,2),val_arr,HLOOKUP(AK31,date_arr,2))),"",VLOOKUP(WEEKDAY(AK31,2),val_arr,HLOOKUP(AK31,date_arr,2)))</f>
        <v>100</v>
      </c>
      <c r="AN31" s="105"/>
      <c r="AO31" s="112" t="s">
        <v>196</v>
      </c>
      <c r="AP31" s="107" t="str">
        <f aca="false">IF(AN31="","",AM31-AN31)</f>
        <v/>
      </c>
      <c r="AQ31" s="101" t="n">
        <v>28</v>
      </c>
      <c r="AR31" s="102" t="n">
        <v>45231</v>
      </c>
      <c r="AS31" s="103" t="str">
        <f aca="false">IF(AR31="","",CHOOSE(WEEKDAY(AR31,2),"Mon","Tue","Wed","Thu","Fri","Sat","Sun"))</f>
        <v>Wed</v>
      </c>
      <c r="AT31" s="104" t="n">
        <f aca="false">IF(ISNA(VLOOKUP(WEEKDAY(AR31,2),val_arr,HLOOKUP(AR31,date_arr,2))),"",VLOOKUP(WEEKDAY(AR31,2),val_arr,HLOOKUP(AR31,date_arr,2)))</f>
        <v>100</v>
      </c>
      <c r="AU31" s="105"/>
      <c r="AV31" s="112" t="s">
        <v>196</v>
      </c>
      <c r="AW31" s="107" t="str">
        <f aca="false">IF(AU31="","",AT31-AU31)</f>
        <v/>
      </c>
    </row>
    <row r="32" customFormat="false" ht="21" hidden="false" customHeight="true" outlineLevel="0" collapsed="false">
      <c r="A32" s="101" t="n">
        <v>29</v>
      </c>
      <c r="B32" s="102" t="n">
        <v>45049</v>
      </c>
      <c r="C32" s="103" t="str">
        <f aca="false">IF(B32="","",CHOOSE(WEEKDAY(B32,2),"Mon","Tue","Wed","Thu","Fri","Sat","Sun"))</f>
        <v>Wed</v>
      </c>
      <c r="D32" s="104" t="n">
        <f aca="false">IF(ISNA(VLOOKUP(WEEKDAY(B32,2),val_arr,HLOOKUP(B32,date_arr,2))),"",VLOOKUP(WEEKDAY(B32,2),val_arr,HLOOKUP(B32,date_arr,2)))</f>
        <v>100</v>
      </c>
      <c r="E32" s="105" t="n">
        <f aca="false">0+75-0-10</f>
        <v>65</v>
      </c>
      <c r="F32" s="113" t="n">
        <v>0</v>
      </c>
      <c r="G32" s="107" t="n">
        <f aca="false">IF(E32="","",D32-E32)</f>
        <v>35</v>
      </c>
      <c r="H32" s="101" t="n">
        <v>29</v>
      </c>
      <c r="I32" s="102" t="n">
        <v>45079</v>
      </c>
      <c r="J32" s="103" t="str">
        <f aca="false">IF(I32="","",CHOOSE(WEEKDAY(I32,2),"Mon","Tue","Wed","Thu","Fri","Sat","Sun"))</f>
        <v>Fri</v>
      </c>
      <c r="K32" s="104" t="n">
        <f aca="false">IF(ISNA(VLOOKUP(WEEKDAY(I32,2),val_arr,HLOOKUP(I32,date_an24arr,2))),"",VLOOKUP(WEEKDAY(I32,2),val_arr,HLOOKUP(I32,date_arr,2)))</f>
        <v>100</v>
      </c>
      <c r="L32" s="105" t="n">
        <f aca="false">0+40+29-0</f>
        <v>69</v>
      </c>
      <c r="M32" s="113" t="n">
        <v>0</v>
      </c>
      <c r="N32" s="107" t="n">
        <f aca="false">IF(L32="","",K32-L32)</f>
        <v>31</v>
      </c>
      <c r="O32" s="101" t="n">
        <v>29</v>
      </c>
      <c r="P32" s="102" t="n">
        <v>45110</v>
      </c>
      <c r="Q32" s="103" t="str">
        <f aca="false">IF(P32="","",CHOOSE(WEEKDAY(P32,2),"Mon","Tue","Wed","Thu","Fri","Sat","Sun"))</f>
        <v>Mon</v>
      </c>
      <c r="R32" s="104" t="n">
        <f aca="false">IF(ISNA(VLOOKUP(WEEKDAY(P32,2),val_arr,HLOOKUP(P32,date_arr,2))),"",VLOOKUP(WEEKDAY(P32,2),val_arr,HLOOKUP(P32,date_arr,2)))</f>
        <v>100</v>
      </c>
      <c r="S32" s="105" t="n">
        <f aca="false">0+42+25</f>
        <v>67</v>
      </c>
      <c r="T32" s="106" t="n">
        <v>0</v>
      </c>
      <c r="U32" s="107" t="n">
        <f aca="false">IF(S32="","",R32-S32)</f>
        <v>33</v>
      </c>
      <c r="V32" s="101" t="n">
        <v>29</v>
      </c>
      <c r="W32" s="102" t="n">
        <v>45140</v>
      </c>
      <c r="X32" s="103" t="str">
        <f aca="false">IF(W32="","",CHOOSE(WEEKDAY(W32,2),"Mon","Tue","Wed","Thu","Fri","Sat","Sun"))</f>
        <v>Wed</v>
      </c>
      <c r="Y32" s="104" t="n">
        <f aca="false">IF(ISNA(VLOOKUP(WEEKDAY(W32,2),val_arr,HLOOKUP(W32,date_arr,2))),"",VLOOKUP(WEEKDAY(W32,2),val_arr,HLOOKUP(W32,date_arr,2)))</f>
        <v>100</v>
      </c>
      <c r="Z32" s="105" t="n">
        <f aca="false">0+45</f>
        <v>45</v>
      </c>
      <c r="AA32" s="106" t="n">
        <v>0</v>
      </c>
      <c r="AB32" s="107" t="n">
        <f aca="false">IF(Z32="","",Y32-Z32)</f>
        <v>55</v>
      </c>
      <c r="AC32" s="101" t="n">
        <v>29</v>
      </c>
      <c r="AD32" s="102" t="n">
        <v>45171</v>
      </c>
      <c r="AE32" s="103" t="str">
        <f aca="false">IF(AD32="","",CHOOSE(WEEKDAY(AD32,2),"Mon","Tue","Wed","Thu","Fri","Sat","Sun"))</f>
        <v>Sat</v>
      </c>
      <c r="AF32" s="104" t="n">
        <f aca="false">IF(ISNA(VLOOKUP(WEEKDAY(AD32,2),val_arr,HLOOKUP(AD32,date_arr,2))),"",VLOOKUP(WEEKDAY(AD32,2),val_arr,HLOOKUP(AD32,date_arr,2)))</f>
        <v>100</v>
      </c>
      <c r="AG32" s="105"/>
      <c r="AH32" s="106"/>
      <c r="AI32" s="107" t="str">
        <f aca="false">IF(AG32="","",AF32-AG32)</f>
        <v/>
      </c>
      <c r="AJ32" s="101" t="n">
        <v>29</v>
      </c>
      <c r="AK32" s="102" t="n">
        <v>45202</v>
      </c>
      <c r="AL32" s="103" t="str">
        <f aca="false">IF(AK32="","",CHOOSE(WEEKDAY(AK32,2),"Mon","Tue","Wed","Thu","Fri","Sat","Sun"))</f>
        <v>Tue</v>
      </c>
      <c r="AM32" s="104" t="n">
        <f aca="false">IF(ISNA(VLOOKUP(WEEKDAY(AK32,2),val_arr,HLOOKUP(AK32,date_arr,2))),"",VLOOKUP(WEEKDAY(AK32,2),val_arr,HLOOKUP(AK32,date_arr,2)))</f>
        <v>100</v>
      </c>
      <c r="AN32" s="105"/>
      <c r="AO32" s="106"/>
      <c r="AP32" s="107" t="str">
        <f aca="false">IF(AN32="","",AM32-AN32)</f>
        <v/>
      </c>
      <c r="AQ32" s="101" t="n">
        <v>29</v>
      </c>
      <c r="AR32" s="102" t="n">
        <v>45232</v>
      </c>
      <c r="AS32" s="103" t="str">
        <f aca="false">IF(AR32="","",CHOOSE(WEEKDAY(AR32,2),"Mon","Tue","Wed","Thu","Fri","Sat","Sun"))</f>
        <v>Thu</v>
      </c>
      <c r="AT32" s="104" t="n">
        <f aca="false">IF(ISNA(VLOOKUP(WEEKDAY(AR32,2),val_arr,HLOOKUP(AR32,date_arr,2))),"",VLOOKUP(WEEKDAY(AR32,2),val_arr,HLOOKUP(AR32,date_arr,2)))</f>
        <v>100</v>
      </c>
      <c r="AU32" s="105"/>
      <c r="AV32" s="106"/>
      <c r="AW32" s="107" t="str">
        <f aca="false">IF(AU32="","",AT32-AU32)</f>
        <v/>
      </c>
    </row>
    <row r="33" customFormat="false" ht="21" hidden="false" customHeight="true" outlineLevel="0" collapsed="false">
      <c r="A33" s="101" t="n">
        <v>30</v>
      </c>
      <c r="B33" s="102" t="n">
        <v>45050</v>
      </c>
      <c r="C33" s="103" t="str">
        <f aca="false">IF(B33="","",CHOOSE(WEEKDAY(B33,2),"Mon","Tue","Wed","Thu","Fri","Sat","Sun"))</f>
        <v>Thu</v>
      </c>
      <c r="D33" s="104" t="n">
        <f aca="false">IF(ISNA(VLOOKUP(WEEKDAY(B33,2),val_arr,HLOOKUP(B33,date_arr,2))),"",VLOOKUP(WEEKDAY(B33,2),val_arr,HLOOKUP(B33,date_arr,2)))</f>
        <v>100</v>
      </c>
      <c r="E33" s="105" t="n">
        <f aca="false">0+57-0</f>
        <v>57</v>
      </c>
      <c r="F33" s="113" t="n">
        <v>0</v>
      </c>
      <c r="G33" s="107" t="n">
        <f aca="false">IF(E33="","",D33-E33)</f>
        <v>43</v>
      </c>
      <c r="H33" s="101" t="n">
        <v>30</v>
      </c>
      <c r="I33" s="102" t="n">
        <v>45080</v>
      </c>
      <c r="J33" s="103" t="str">
        <f aca="false">IF(I33="","",CHOOSE(WEEKDAY(I33,2),"Mon","Tue","Wed","Thu","Fri","Sat","Sun"))</f>
        <v>Sat</v>
      </c>
      <c r="K33" s="104" t="n">
        <f aca="false">IF(ISNA(VLOOKUP(WEEKDAY(I33,2),val_arr,HLOOKUP(I33,date_arr,2))),"",VLOOKUP(WEEKDAY(I33,2),val_arr,HLOOKUP(I33,date_arr,2)))</f>
        <v>100</v>
      </c>
      <c r="L33" s="105" t="n">
        <f aca="false">0+40+29</f>
        <v>69</v>
      </c>
      <c r="M33" s="113" t="n">
        <v>0</v>
      </c>
      <c r="N33" s="107" t="n">
        <f aca="false">IF(L33="","",K33-L33)</f>
        <v>31</v>
      </c>
      <c r="O33" s="101" t="n">
        <v>30</v>
      </c>
      <c r="P33" s="102" t="n">
        <v>45111</v>
      </c>
      <c r="Q33" s="103" t="str">
        <f aca="false">IF(P33="","",CHOOSE(WEEKDAY(P33,2),"Mon","Tue","Wed","Thu","Fri","Sat","Sun"))</f>
        <v>Tue</v>
      </c>
      <c r="R33" s="104" t="n">
        <f aca="false">IF(ISNA(VLOOKUP(WEEKDAY(P33,2),val_arr,HLOOKUP(P33,date_arr,2))),"",VLOOKUP(WEEKDAY(P33,2),val_arr,HLOOKUP(P33,date_arr,2)))</f>
        <v>100</v>
      </c>
      <c r="S33" s="105" t="n">
        <f aca="false">0+35.74</f>
        <v>35.74</v>
      </c>
      <c r="T33" s="106" t="n">
        <v>0</v>
      </c>
      <c r="U33" s="107" t="n">
        <f aca="false">IF(S33="","",R33-S33)</f>
        <v>64.26</v>
      </c>
      <c r="V33" s="101" t="n">
        <v>30</v>
      </c>
      <c r="W33" s="102" t="n">
        <v>45141</v>
      </c>
      <c r="X33" s="103" t="str">
        <f aca="false">IF(W33="","",CHOOSE(WEEKDAY(W33,2),"Mon","Tue","Wed","Thu","Fri","Sat","Sun"))</f>
        <v>Thu</v>
      </c>
      <c r="Y33" s="104" t="n">
        <f aca="false">IF(ISNA(VLOOKUP(WEEKDAY(W33,2),val_arr,HLOOKUP(W33,date_arr,2))),"",VLOOKUP(WEEKDAY(W33,2),val_arr,HLOOKUP(W33,date_arr,2)))</f>
        <v>100</v>
      </c>
      <c r="Z33" s="105" t="n">
        <f aca="false">0+48+27-27</f>
        <v>48</v>
      </c>
      <c r="AA33" s="106" t="n">
        <v>0</v>
      </c>
      <c r="AB33" s="107" t="n">
        <f aca="false">IF(Z33="","",Y33-Z33)</f>
        <v>52</v>
      </c>
      <c r="AC33" s="101" t="n">
        <v>30</v>
      </c>
      <c r="AD33" s="102" t="n">
        <v>45172</v>
      </c>
      <c r="AE33" s="103" t="str">
        <f aca="false">IF(AD33="","",CHOOSE(WEEKDAY(AD33,2),"Mon","Tue","Wed","Thu","Fri","Sat","Sun"))</f>
        <v>Sun</v>
      </c>
      <c r="AF33" s="104" t="n">
        <f aca="false">IF(ISNA(VLOOKUP(WEEKDAY(AD33,2),val_arr,HLOOKUP(AD33,date_arr,2))),"",VLOOKUP(WEEKDAY(AD33,2),val_arr,HLOOKUP(AD33,date_arr,2)))</f>
        <v>100</v>
      </c>
      <c r="AG33" s="105"/>
      <c r="AH33" s="108" t="s">
        <v>197</v>
      </c>
      <c r="AI33" s="107" t="str">
        <f aca="false">IF(AG33="","",AF33-AG33)</f>
        <v/>
      </c>
      <c r="AJ33" s="101" t="n">
        <v>30</v>
      </c>
      <c r="AK33" s="102" t="n">
        <v>45203</v>
      </c>
      <c r="AL33" s="103" t="str">
        <f aca="false">IF(AK33="","",CHOOSE(WEEKDAY(AK33,2),"Mon","Tue","Wed","Thu","Fri","Sat","Sun"))</f>
        <v>Wed</v>
      </c>
      <c r="AM33" s="104" t="n">
        <f aca="false">IF(ISNA(VLOOKUP(WEEKDAY(AK33,2),val_arr,HLOOKUP(AK33,date_arr,2))),"",VLOOKUP(WEEKDAY(AK33,2),val_arr,HLOOKUP(AK33,date_arr,2)))</f>
        <v>100</v>
      </c>
      <c r="AN33" s="105"/>
      <c r="AO33" s="108" t="s">
        <v>197</v>
      </c>
      <c r="AP33" s="107" t="str">
        <f aca="false">IF(AN33="","",AM33-AN33)</f>
        <v/>
      </c>
      <c r="AQ33" s="101" t="n">
        <v>30</v>
      </c>
      <c r="AR33" s="102" t="n">
        <v>45233</v>
      </c>
      <c r="AS33" s="103" t="str">
        <f aca="false">IF(AR33="","",CHOOSE(WEEKDAY(AR33,2),"Mon","Tue","Wed","Thu","Fri","Sat","Sun"))</f>
        <v>Fri</v>
      </c>
      <c r="AT33" s="104" t="n">
        <f aca="false">IF(ISNA(VLOOKUP(WEEKDAY(AR33,2),val_arr,HLOOKUP(AR33,date_arr,2))),"",VLOOKUP(WEEKDAY(AR33,2),val_arr,HLOOKUP(AR33,date_arr,2)))</f>
        <v>100</v>
      </c>
      <c r="AU33" s="105"/>
      <c r="AV33" s="108" t="s">
        <v>197</v>
      </c>
      <c r="AW33" s="107" t="str">
        <f aca="false">IF(AU33="","",AT33-AU33)</f>
        <v/>
      </c>
    </row>
    <row r="34" customFormat="false" ht="21" hidden="false" customHeight="true" outlineLevel="0" collapsed="false">
      <c r="A34" s="101" t="n">
        <v>31</v>
      </c>
      <c r="B34" s="102"/>
      <c r="C34" s="103" t="str">
        <f aca="false">IF(B34="","",CHOOSE(WEEKDAY(B34,2),"Mon","Tue","Wed","Thu","Fri","Sat","Sun"))</f>
        <v/>
      </c>
      <c r="D34" s="104" t="str">
        <f aca="false">IF(ISNA(VLOOKUP(WEEKDAY(B34,2),val_arr,HLOOKUP(B34,date_arr,2))),"",VLOOKUP(WEEKDAY(B34,2),val_arr,HLOOKUP(B34,date_arr,2)))</f>
        <v/>
      </c>
      <c r="E34" s="105"/>
      <c r="F34" s="113"/>
      <c r="G34" s="107" t="str">
        <f aca="false">IF(E34="","",D34-E34)</f>
        <v/>
      </c>
      <c r="H34" s="101" t="n">
        <v>31</v>
      </c>
      <c r="I34" s="102" t="n">
        <v>45081</v>
      </c>
      <c r="J34" s="103" t="str">
        <f aca="false">IF(I34="","",CHOOSE(WEEKDAY(I34,2),"Mon","Tue","Wed","Thu","Fri","Sat","Sun"))</f>
        <v>Sun</v>
      </c>
      <c r="K34" s="104" t="n">
        <f aca="false">IF(ISNA(VLOOKUP(WEEKDAY(I34,2),val_arr,HLOOKUP(I34,date_arr,2))),"",VLOOKUP(WEEKDAY(I34,2),val_arr,HLOOKUP(I34,date_arr,2)))</f>
        <v>100</v>
      </c>
      <c r="L34" s="105" t="n">
        <f aca="false">0+40+28</f>
        <v>68</v>
      </c>
      <c r="M34" s="113" t="n">
        <v>0</v>
      </c>
      <c r="N34" s="107" t="n">
        <f aca="false">IF(L34="","",K34-L34)</f>
        <v>32</v>
      </c>
      <c r="O34" s="101" t="n">
        <v>31</v>
      </c>
      <c r="P34" s="102"/>
      <c r="Q34" s="103" t="str">
        <f aca="false">IF(P34="","",CHOOSE(WEEKDAY(P34,2),"Mon","Tue","Wed","Thu","Fri","Sat","Sun"))</f>
        <v/>
      </c>
      <c r="R34" s="104" t="str">
        <f aca="false">IF(ISNA(VLOOKUP(WEEKDAY(P34,2),val_arr,HLOOKUP(P34,date_arr,2))),"",VLOOKUP(WEEKDAY(P34,2),val_arr,HLOOKUP(P34,date_arr,2)))</f>
        <v/>
      </c>
      <c r="S34" s="105"/>
      <c r="T34" s="106"/>
      <c r="U34" s="107" t="str">
        <f aca="false">IF(S34="","",R34-S34)</f>
        <v/>
      </c>
      <c r="V34" s="101" t="n">
        <v>31</v>
      </c>
      <c r="W34" s="102" t="n">
        <v>45142</v>
      </c>
      <c r="X34" s="103" t="str">
        <f aca="false">IF(W34="","",CHOOSE(WEEKDAY(W34,2),"Mon","Tue","Wed","Thu","Fri","Sat","Sun"))</f>
        <v>Fri</v>
      </c>
      <c r="Y34" s="104" t="n">
        <f aca="false">IF(ISNA(VLOOKUP(WEEKDAY(W34,2),val_arr,HLOOKUP(W34,date_arr,2))),"",VLOOKUP(WEEKDAY(W34,2),val_arr,HLOOKUP(W34,date_arr,2)))</f>
        <v>100</v>
      </c>
      <c r="Z34" s="105" t="n">
        <f aca="false">0+26</f>
        <v>26</v>
      </c>
      <c r="AA34" s="106" t="n">
        <v>0</v>
      </c>
      <c r="AB34" s="107" t="n">
        <f aca="false">IF(Z34="","",Y34-Z34)</f>
        <v>74</v>
      </c>
      <c r="AC34" s="101" t="n">
        <v>31</v>
      </c>
      <c r="AD34" s="102" t="n">
        <v>45173</v>
      </c>
      <c r="AE34" s="103" t="str">
        <f aca="false">IF(AD34="","",CHOOSE(WEEKDAY(AD34,2),"Mon","Tue","Wed","Thu","Fri","Sat","Sun"))</f>
        <v>Mon</v>
      </c>
      <c r="AF34" s="104" t="n">
        <f aca="false">IF(ISNA(VLOOKUP(WEEKDAY(AD34,2),val_arr,HLOOKUP(AD34,date_arr,2))),"",VLOOKUP(WEEKDAY(AD34,2),val_arr,HLOOKUP(AD34,date_arr,2)))</f>
        <v>100</v>
      </c>
      <c r="AG34" s="105"/>
      <c r="AH34" s="106" t="s">
        <v>198</v>
      </c>
      <c r="AI34" s="107" t="str">
        <f aca="false">IF(AG34="","",AF34-AG34)</f>
        <v/>
      </c>
      <c r="AJ34" s="101" t="n">
        <v>31</v>
      </c>
      <c r="AK34" s="102"/>
      <c r="AL34" s="103" t="str">
        <f aca="false">IF(AK34="","",CHOOSE(WEEKDAY(AK34,2),"Mon","Tue","Wed","Thu","Fri","Sat","Sun"))</f>
        <v/>
      </c>
      <c r="AM34" s="104" t="str">
        <f aca="false">IF(ISNA(VLOOKUP(WEEKDAY(AK34,2),val_arr,HLOOKUP(AK34,date_arr,2))),"",VLOOKUP(WEEKDAY(AK34,2),val_arr,HLOOKUP(AK34,date_arr,2)))</f>
        <v/>
      </c>
      <c r="AN34" s="105"/>
      <c r="AO34" s="106" t="s">
        <v>198</v>
      </c>
      <c r="AP34" s="107" t="str">
        <f aca="false">IF(AN34="","",AM34-AN34)</f>
        <v/>
      </c>
      <c r="AQ34" s="101" t="n">
        <v>31</v>
      </c>
      <c r="AR34" s="102" t="n">
        <v>45234</v>
      </c>
      <c r="AS34" s="103" t="str">
        <f aca="false">IF(AR34="","",CHOOSE(WEEKDAY(AR34,2),"Mon","Tue","Wed","Thu","Fri","Sat","Sun"))</f>
        <v>Sat</v>
      </c>
      <c r="AT34" s="104" t="n">
        <f aca="false">IF(ISNA(VLOOKUP(WEEKDAY(AR34,2),val_arr,HLOOKUP(AR34,date_arr,2))),"",VLOOKUP(WEEKDAY(AR34,2),val_arr,HLOOKUP(AR34,date_arr,2)))</f>
        <v>100</v>
      </c>
      <c r="AU34" s="105"/>
      <c r="AV34" s="106" t="s">
        <v>198</v>
      </c>
      <c r="AW34" s="107" t="str">
        <f aca="false">IF(AU34="","",AT34-AU34)</f>
        <v/>
      </c>
    </row>
    <row r="35" customFormat="false" ht="21" hidden="false" customHeight="true" outlineLevel="0" collapsed="false">
      <c r="B35" s="114" t="s">
        <v>199</v>
      </c>
      <c r="C35" s="114"/>
      <c r="D35" s="115" t="n">
        <f aca="false">SUM(D4:D34)</f>
        <v>3000</v>
      </c>
      <c r="E35" s="115" t="n">
        <f aca="false">SUM(E4:E34)</f>
        <v>1381</v>
      </c>
      <c r="F35" s="116" t="str">
        <f aca="true">"avg daily sav: "&amp; TEXT(G35/(TODAY()-MIN(B4:B34)+1),"#,##0")</f>
        <v>avg daily sav: 13</v>
      </c>
      <c r="G35" s="117" t="n">
        <f aca="false">SUM(G4:G34)</f>
        <v>1619</v>
      </c>
      <c r="I35" s="114" t="s">
        <v>199</v>
      </c>
      <c r="J35" s="114"/>
      <c r="K35" s="115" t="n">
        <f aca="false">SUM(K4:K34)</f>
        <v>3100</v>
      </c>
      <c r="L35" s="115" t="n">
        <f aca="false">SUM(L4:L34)</f>
        <v>2050</v>
      </c>
      <c r="M35" s="116" t="str">
        <f aca="true">"avg daily sav: "&amp; TEXT(N35/(TODAY()-MIN(I4:I34)+1),"#,##0")</f>
        <v>avg daily sav: 11</v>
      </c>
      <c r="N35" s="117" t="n">
        <f aca="false">SUM(N4:N34)</f>
        <v>1050</v>
      </c>
      <c r="P35" s="114" t="s">
        <v>199</v>
      </c>
      <c r="Q35" s="114"/>
      <c r="R35" s="115" t="n">
        <f aca="false">SUM(R4:R34)</f>
        <v>3000</v>
      </c>
      <c r="S35" s="115" t="n">
        <f aca="false">SUM(S4:S34)</f>
        <v>1646.74</v>
      </c>
      <c r="T35" s="116" t="str">
        <f aca="true">"avg daily sav: "&amp; TEXT(U35/(TODAY()-MIN(P4:P34)+1),"#,##0")</f>
        <v>avg daily sav: 20</v>
      </c>
      <c r="U35" s="117" t="n">
        <f aca="false">SUM(U4:U34)</f>
        <v>1353.26</v>
      </c>
      <c r="W35" s="114" t="s">
        <v>199</v>
      </c>
      <c r="X35" s="114"/>
      <c r="Y35" s="115" t="n">
        <f aca="false">SUM(Y4:Y34)</f>
        <v>3100</v>
      </c>
      <c r="Z35" s="115" t="n">
        <f aca="false">SUM(Z4:Z34)</f>
        <v>1493</v>
      </c>
      <c r="AA35" s="116" t="str">
        <f aca="true">"avg daily sav: "&amp; TEXT(AB35/(TODAY()-MIN(W4:W34)+1),"#,##0")</f>
        <v>avg daily sav: 42</v>
      </c>
      <c r="AB35" s="117" t="n">
        <f aca="false">SUM(AB4:AB34)</f>
        <v>1607</v>
      </c>
      <c r="AD35" s="114" t="s">
        <v>199</v>
      </c>
      <c r="AE35" s="114"/>
      <c r="AF35" s="115" t="n">
        <f aca="false">SUM(AF4:AF34)</f>
        <v>3100</v>
      </c>
      <c r="AG35" s="115" t="n">
        <f aca="false">SUM(AG4:AG34)</f>
        <v>434</v>
      </c>
      <c r="AH35" s="116" t="str">
        <f aca="true">"avg daily sav: "&amp; TEXT(AI35/(TODAY()-MIN(AD4:AD34)+1),"#,##0")</f>
        <v>avg daily sav: 38</v>
      </c>
      <c r="AI35" s="117" t="n">
        <f aca="false">SUM(AI4:AI34)</f>
        <v>266</v>
      </c>
      <c r="AK35" s="114" t="s">
        <v>199</v>
      </c>
      <c r="AL35" s="114"/>
      <c r="AM35" s="115" t="n">
        <f aca="false">SUM(AM4:AM34)</f>
        <v>3000</v>
      </c>
      <c r="AN35" s="115" t="n">
        <f aca="false">SUM(AN4:AN34)</f>
        <v>0</v>
      </c>
      <c r="AO35" s="116" t="str">
        <f aca="true">"avg daily sav: "&amp; TEXT(AP35/(TODAY()-MIN(AK4:AK34)+1),"#,##0")</f>
        <v>avg daily sav: 0</v>
      </c>
      <c r="AP35" s="117" t="n">
        <f aca="false">SUM(AP4:AP34)</f>
        <v>0</v>
      </c>
      <c r="AR35" s="114" t="s">
        <v>199</v>
      </c>
      <c r="AS35" s="114"/>
      <c r="AT35" s="115" t="n">
        <f aca="false">SUM(AT4:AT34)</f>
        <v>3100</v>
      </c>
      <c r="AU35" s="115" t="n">
        <f aca="false">SUM(AU4:AU34)</f>
        <v>0</v>
      </c>
      <c r="AV35" s="116" t="str">
        <f aca="true">"avg daily sav: "&amp; TEXT(AW35/(TODAY()-MIN(AR4:AR34)+1),"#,##0")</f>
        <v>avg daily sav: 0</v>
      </c>
      <c r="AW35" s="117" t="n">
        <f aca="false">SUM(AW4:AW34)</f>
        <v>0</v>
      </c>
    </row>
    <row r="36" customFormat="false" ht="21" hidden="false" customHeight="true" outlineLevel="0" collapsed="false">
      <c r="B36" s="118"/>
      <c r="C36" s="118"/>
      <c r="I36" s="118"/>
      <c r="J36" s="118"/>
      <c r="P36" s="118"/>
      <c r="Q36" s="118"/>
      <c r="W36" s="118"/>
      <c r="X36" s="118"/>
      <c r="AD36" s="118"/>
      <c r="AE36" s="118"/>
      <c r="AK36" s="118"/>
      <c r="AL36" s="118"/>
      <c r="AR36" s="118"/>
      <c r="AS36" s="118"/>
    </row>
    <row r="37" customFormat="false" ht="21" hidden="false" customHeight="true" outlineLevel="0" collapsed="false">
      <c r="B37" s="119" t="s">
        <v>200</v>
      </c>
      <c r="C37" s="119"/>
      <c r="D37" s="119"/>
      <c r="E37" s="119"/>
      <c r="F37" s="119"/>
      <c r="G37" s="119"/>
      <c r="I37" s="119" t="s">
        <v>200</v>
      </c>
      <c r="J37" s="119"/>
      <c r="K37" s="119"/>
      <c r="L37" s="119"/>
      <c r="M37" s="119"/>
      <c r="N37" s="119"/>
      <c r="P37" s="119" t="s">
        <v>200</v>
      </c>
      <c r="Q37" s="119"/>
      <c r="R37" s="119"/>
      <c r="S37" s="119"/>
      <c r="T37" s="119"/>
      <c r="U37" s="119"/>
      <c r="W37" s="119" t="s">
        <v>200</v>
      </c>
      <c r="X37" s="119"/>
      <c r="Y37" s="119"/>
      <c r="Z37" s="119"/>
      <c r="AA37" s="119"/>
      <c r="AB37" s="119"/>
      <c r="AD37" s="119" t="s">
        <v>200</v>
      </c>
      <c r="AE37" s="119"/>
      <c r="AF37" s="119"/>
      <c r="AG37" s="119"/>
      <c r="AH37" s="119"/>
      <c r="AI37" s="119"/>
      <c r="AK37" s="119" t="s">
        <v>200</v>
      </c>
      <c r="AL37" s="119"/>
      <c r="AM37" s="119"/>
      <c r="AN37" s="119"/>
      <c r="AO37" s="119"/>
      <c r="AP37" s="119"/>
      <c r="AR37" s="119" t="s">
        <v>200</v>
      </c>
      <c r="AS37" s="119"/>
      <c r="AT37" s="119"/>
      <c r="AU37" s="119"/>
      <c r="AV37" s="119"/>
      <c r="AW37" s="119"/>
    </row>
    <row r="38" customFormat="false" ht="21" hidden="false" customHeight="true" outlineLevel="0" collapsed="false">
      <c r="B38" s="96" t="s">
        <v>7</v>
      </c>
      <c r="C38" s="97" t="s">
        <v>179</v>
      </c>
      <c r="D38" s="98" t="s">
        <v>180</v>
      </c>
      <c r="E38" s="98" t="s">
        <v>181</v>
      </c>
      <c r="F38" s="98" t="s">
        <v>183</v>
      </c>
      <c r="G38" s="100" t="s">
        <v>201</v>
      </c>
      <c r="I38" s="96" t="s">
        <v>7</v>
      </c>
      <c r="J38" s="97" t="s">
        <v>179</v>
      </c>
      <c r="K38" s="98" t="s">
        <v>180</v>
      </c>
      <c r="L38" s="98" t="s">
        <v>181</v>
      </c>
      <c r="M38" s="98" t="s">
        <v>183</v>
      </c>
      <c r="N38" s="100" t="s">
        <v>201</v>
      </c>
      <c r="P38" s="96" t="s">
        <v>7</v>
      </c>
      <c r="Q38" s="97" t="s">
        <v>179</v>
      </c>
      <c r="R38" s="98" t="s">
        <v>180</v>
      </c>
      <c r="S38" s="98" t="s">
        <v>181</v>
      </c>
      <c r="T38" s="98" t="s">
        <v>183</v>
      </c>
      <c r="U38" s="100" t="s">
        <v>201</v>
      </c>
      <c r="W38" s="96" t="s">
        <v>7</v>
      </c>
      <c r="X38" s="97" t="s">
        <v>179</v>
      </c>
      <c r="Y38" s="98" t="s">
        <v>180</v>
      </c>
      <c r="Z38" s="98" t="s">
        <v>181</v>
      </c>
      <c r="AA38" s="98" t="s">
        <v>183</v>
      </c>
      <c r="AB38" s="100" t="s">
        <v>201</v>
      </c>
      <c r="AD38" s="96" t="s">
        <v>7</v>
      </c>
      <c r="AE38" s="97" t="s">
        <v>179</v>
      </c>
      <c r="AF38" s="98" t="s">
        <v>180</v>
      </c>
      <c r="AG38" s="98" t="s">
        <v>181</v>
      </c>
      <c r="AH38" s="98" t="s">
        <v>183</v>
      </c>
      <c r="AI38" s="100" t="s">
        <v>201</v>
      </c>
      <c r="AK38" s="96" t="s">
        <v>7</v>
      </c>
      <c r="AL38" s="97" t="s">
        <v>179</v>
      </c>
      <c r="AM38" s="98" t="s">
        <v>180</v>
      </c>
      <c r="AN38" s="98" t="s">
        <v>181</v>
      </c>
      <c r="AO38" s="98" t="s">
        <v>183</v>
      </c>
      <c r="AP38" s="100" t="s">
        <v>201</v>
      </c>
      <c r="AR38" s="96" t="s">
        <v>7</v>
      </c>
      <c r="AS38" s="97" t="s">
        <v>179</v>
      </c>
      <c r="AT38" s="98" t="s">
        <v>180</v>
      </c>
      <c r="AU38" s="98" t="s">
        <v>181</v>
      </c>
      <c r="AV38" s="98" t="s">
        <v>183</v>
      </c>
      <c r="AW38" s="100" t="s">
        <v>201</v>
      </c>
    </row>
    <row r="39" customFormat="false" ht="21" hidden="false" customHeight="true" outlineLevel="0" collapsed="false">
      <c r="B39" s="102" t="n">
        <v>45024</v>
      </c>
      <c r="C39" s="103" t="str">
        <f aca="false">IF(B39="","",CHOOSE(WEEKDAY(B39,2),"Mon","Tue","Wed","Thu","Fri","Sat","Sun"))</f>
        <v>Sat</v>
      </c>
      <c r="D39" s="120" t="n">
        <v>170</v>
      </c>
      <c r="E39" s="120" t="n">
        <v>0</v>
      </c>
      <c r="F39" s="120" t="n">
        <f aca="false">IF(E39="","",D39-E39)</f>
        <v>170</v>
      </c>
      <c r="G39" s="121" t="s">
        <v>202</v>
      </c>
      <c r="I39" s="102" t="n">
        <v>45061</v>
      </c>
      <c r="J39" s="103" t="str">
        <f aca="false">IF(I39="","",CHOOSE(WEEKDAY(I39,2),"Mon","Tue","Wed","Thu","Fri","Sat","Sun"))</f>
        <v>Mon</v>
      </c>
      <c r="K39" s="120" t="n">
        <v>29</v>
      </c>
      <c r="L39" s="120" t="n">
        <v>29</v>
      </c>
      <c r="M39" s="120" t="n">
        <f aca="false">IF(L39="","",K39-L39)</f>
        <v>0</v>
      </c>
      <c r="N39" s="121" t="s">
        <v>202</v>
      </c>
      <c r="P39" s="102" t="n">
        <v>45097</v>
      </c>
      <c r="Q39" s="103" t="str">
        <f aca="false">IF(P39="","",CHOOSE(WEEKDAY(P39,2),"Mon","Tue","Wed","Thu","Fri","Sat","Sun"))</f>
        <v>Tue</v>
      </c>
      <c r="R39" s="120" t="n">
        <v>170</v>
      </c>
      <c r="S39" s="120" t="n">
        <v>154</v>
      </c>
      <c r="T39" s="120" t="n">
        <f aca="false">IF(S39="","",R39-S39)</f>
        <v>16</v>
      </c>
      <c r="U39" s="121" t="s">
        <v>202</v>
      </c>
      <c r="W39" s="102" t="n">
        <v>45128</v>
      </c>
      <c r="X39" s="103" t="str">
        <f aca="false">IF(W39="","",CHOOSE(WEEKDAY(W39,2),"Mon","Tue","Wed","Thu","Fri","Sat","Sun"))</f>
        <v>Fri</v>
      </c>
      <c r="Y39" s="120" t="n">
        <v>170</v>
      </c>
      <c r="Z39" s="120" t="n">
        <v>184.33</v>
      </c>
      <c r="AA39" s="120" t="n">
        <f aca="false">IF(Z39="","",Y39-Z39)</f>
        <v>-14.33</v>
      </c>
      <c r="AB39" s="121" t="s">
        <v>202</v>
      </c>
      <c r="AD39" s="102"/>
      <c r="AE39" s="103" t="str">
        <f aca="false">IF(AD39="","",CHOOSE(WEEKDAY(AD39,2),"Mon","Tue","Wed","Thu","Fri","Sat","Sun"))</f>
        <v/>
      </c>
      <c r="AF39" s="110" t="n">
        <v>170</v>
      </c>
      <c r="AG39" s="110"/>
      <c r="AH39" s="110" t="str">
        <f aca="false">IF(AG39="","",AF39-AG39)</f>
        <v/>
      </c>
      <c r="AI39" s="122" t="s">
        <v>202</v>
      </c>
      <c r="AK39" s="102"/>
      <c r="AL39" s="103" t="str">
        <f aca="false">IF(AK39="","",CHOOSE(WEEKDAY(AK39,2),"Mon","Tue","Wed","Thu","Fri","Sat","Sun"))</f>
        <v/>
      </c>
      <c r="AM39" s="110" t="n">
        <v>170</v>
      </c>
      <c r="AN39" s="110"/>
      <c r="AO39" s="110" t="str">
        <f aca="false">IF(AN39="","",AM39-AN39)</f>
        <v/>
      </c>
      <c r="AP39" s="122" t="s">
        <v>202</v>
      </c>
      <c r="AR39" s="102"/>
      <c r="AS39" s="103" t="str">
        <f aca="false">IF(AR39="","",CHOOSE(WEEKDAY(AR39,2),"Mon","Tue","Wed","Thu","Fri","Sat","Sun"))</f>
        <v/>
      </c>
      <c r="AT39" s="110" t="n">
        <v>170</v>
      </c>
      <c r="AU39" s="110"/>
      <c r="AV39" s="110" t="str">
        <f aca="false">IF(AU39="","",AT39-AU39)</f>
        <v/>
      </c>
      <c r="AW39" s="122" t="s">
        <v>202</v>
      </c>
    </row>
    <row r="40" customFormat="false" ht="21" hidden="false" customHeight="true" outlineLevel="0" collapsed="false">
      <c r="B40" s="102" t="n">
        <v>45037</v>
      </c>
      <c r="C40" s="103" t="str">
        <f aca="false">IF(B40="","",CHOOSE(WEEKDAY(B40,2),"Mon","Tue","Wed","Thu","Fri","Sat","Sun"))</f>
        <v>Fri</v>
      </c>
      <c r="D40" s="120" t="n">
        <v>80</v>
      </c>
      <c r="E40" s="120" t="n">
        <v>71</v>
      </c>
      <c r="F40" s="120" t="n">
        <f aca="false">IF(E40="","",D40-E40)</f>
        <v>9</v>
      </c>
      <c r="G40" s="123" t="s">
        <v>203</v>
      </c>
      <c r="I40" s="102" t="n">
        <v>45073</v>
      </c>
      <c r="J40" s="103" t="str">
        <f aca="false">IF(I40="","",CHOOSE(WEEKDAY(I40,2),"Mon","Tue","Wed","Thu","Fri","Sat","Sun"))</f>
        <v>Sat</v>
      </c>
      <c r="K40" s="120" t="n">
        <v>80</v>
      </c>
      <c r="L40" s="120" t="n">
        <v>74</v>
      </c>
      <c r="M40" s="120" t="n">
        <f aca="false">IF(L40="","",K40-L40)</f>
        <v>6</v>
      </c>
      <c r="N40" s="123" t="s">
        <v>203</v>
      </c>
      <c r="P40" s="102" t="n">
        <v>45105</v>
      </c>
      <c r="Q40" s="103" t="str">
        <f aca="false">IF(P40="","",CHOOSE(WEEKDAY(P40,2),"Mon","Tue","Wed","Thu","Fri","Sat","Sun"))</f>
        <v>Wed</v>
      </c>
      <c r="R40" s="120" t="n">
        <v>80</v>
      </c>
      <c r="S40" s="120" t="n">
        <v>73</v>
      </c>
      <c r="T40" s="120" t="n">
        <f aca="false">IF(S40="","",R40-S40)</f>
        <v>7</v>
      </c>
      <c r="U40" s="123" t="s">
        <v>203</v>
      </c>
      <c r="W40" s="102" t="n">
        <v>45133</v>
      </c>
      <c r="X40" s="103" t="str">
        <f aca="false">IF(W40="","",CHOOSE(WEEKDAY(W40,2),"Mon","Tue","Wed","Thu","Fri","Sat","Sun"))</f>
        <v>Wed</v>
      </c>
      <c r="Y40" s="120" t="n">
        <v>80</v>
      </c>
      <c r="Z40" s="120" t="n">
        <v>73</v>
      </c>
      <c r="AA40" s="120" t="n">
        <f aca="false">IF(Z40="","",Y40-Z40)</f>
        <v>7</v>
      </c>
      <c r="AB40" s="123" t="s">
        <v>203</v>
      </c>
      <c r="AD40" s="102"/>
      <c r="AE40" s="103" t="str">
        <f aca="false">IF(AD40="","",CHOOSE(WEEKDAY(AD40,2),"Mon","Tue","Wed","Thu","Fri","Sat","Sun"))</f>
        <v/>
      </c>
      <c r="AF40" s="110" t="n">
        <v>80</v>
      </c>
      <c r="AG40" s="110"/>
      <c r="AH40" s="110" t="str">
        <f aca="false">IF(AG40="","",AF40-AG40)</f>
        <v/>
      </c>
      <c r="AI40" s="124" t="s">
        <v>203</v>
      </c>
      <c r="AK40" s="102"/>
      <c r="AL40" s="103" t="str">
        <f aca="false">IF(AK40="","",CHOOSE(WEEKDAY(AK40,2),"Mon","Tue","Wed","Thu","Fri","Sat","Sun"))</f>
        <v/>
      </c>
      <c r="AM40" s="110" t="n">
        <v>80</v>
      </c>
      <c r="AN40" s="110"/>
      <c r="AO40" s="110" t="str">
        <f aca="false">IF(AN40="","",AM40-AN40)</f>
        <v/>
      </c>
      <c r="AP40" s="124" t="s">
        <v>203</v>
      </c>
      <c r="AR40" s="102"/>
      <c r="AS40" s="103" t="str">
        <f aca="false">IF(AR40="","",CHOOSE(WEEKDAY(AR40,2),"Mon","Tue","Wed","Thu","Fri","Sat","Sun"))</f>
        <v/>
      </c>
      <c r="AT40" s="110" t="n">
        <v>80</v>
      </c>
      <c r="AU40" s="110"/>
      <c r="AV40" s="110" t="str">
        <f aca="false">IF(AU40="","",AT40-AU40)</f>
        <v/>
      </c>
      <c r="AW40" s="124" t="s">
        <v>203</v>
      </c>
    </row>
    <row r="41" customFormat="false" ht="21" hidden="false" customHeight="true" outlineLevel="0" collapsed="false">
      <c r="B41" s="102" t="n">
        <v>45036</v>
      </c>
      <c r="C41" s="103" t="str">
        <f aca="false">IF(B41="","",CHOOSE(WEEKDAY(B41,2),"Mon","Tue","Wed","Thu","Fri","Sat","Sun"))</f>
        <v>Thu</v>
      </c>
      <c r="D41" s="120" t="n">
        <v>500</v>
      </c>
      <c r="E41" s="120" t="n">
        <v>656</v>
      </c>
      <c r="F41" s="120" t="n">
        <f aca="false">IF(E41="","",D41-E41)</f>
        <v>-156</v>
      </c>
      <c r="G41" s="123" t="s">
        <v>204</v>
      </c>
      <c r="I41" s="102" t="n">
        <v>45064</v>
      </c>
      <c r="J41" s="103" t="str">
        <f aca="false">IF(I41="","",CHOOSE(WEEKDAY(I41,2),"Mon","Tue","Wed","Thu","Fri","Sat","Sun"))</f>
        <v>Thu</v>
      </c>
      <c r="K41" s="120" t="n">
        <v>500</v>
      </c>
      <c r="L41" s="120" t="n">
        <v>439</v>
      </c>
      <c r="M41" s="120" t="n">
        <f aca="false">IF(L41="","",K41-L41)</f>
        <v>61</v>
      </c>
      <c r="N41" s="123" t="s">
        <v>204</v>
      </c>
      <c r="P41" s="102" t="n">
        <v>45093</v>
      </c>
      <c r="Q41" s="103" t="str">
        <f aca="false">IF(P41="","",CHOOSE(WEEKDAY(P41,2),"Mon","Tue","Wed","Thu","Fri","Sat","Sun"))</f>
        <v>Fri</v>
      </c>
      <c r="R41" s="120" t="n">
        <v>500</v>
      </c>
      <c r="S41" s="120" t="n">
        <v>360</v>
      </c>
      <c r="T41" s="120" t="n">
        <f aca="false">IF(S41="","",R41-S41)</f>
        <v>140</v>
      </c>
      <c r="U41" s="123" t="s">
        <v>204</v>
      </c>
      <c r="W41" s="102" t="n">
        <v>45128</v>
      </c>
      <c r="X41" s="103" t="str">
        <f aca="false">IF(W41="","",CHOOSE(WEEKDAY(W41,2),"Mon","Tue","Wed","Thu","Fri","Sat","Sun"))</f>
        <v>Fri</v>
      </c>
      <c r="Y41" s="120" t="n">
        <v>500</v>
      </c>
      <c r="Z41" s="120" t="n">
        <v>334</v>
      </c>
      <c r="AA41" s="120" t="n">
        <f aca="false">IF(Z41="","",Y41-Z41)</f>
        <v>166</v>
      </c>
      <c r="AB41" s="123" t="s">
        <v>204</v>
      </c>
      <c r="AD41" s="102"/>
      <c r="AE41" s="103" t="str">
        <f aca="false">IF(AD41="","",CHOOSE(WEEKDAY(AD41,2),"Mon","Tue","Wed","Thu","Fri","Sat","Sun"))</f>
        <v/>
      </c>
      <c r="AF41" s="110" t="n">
        <v>500</v>
      </c>
      <c r="AG41" s="110"/>
      <c r="AH41" s="110" t="str">
        <f aca="false">IF(AG41="","",AF41-AG41)</f>
        <v/>
      </c>
      <c r="AI41" s="124" t="s">
        <v>204</v>
      </c>
      <c r="AK41" s="102"/>
      <c r="AL41" s="103" t="str">
        <f aca="false">IF(AK41="","",CHOOSE(WEEKDAY(AK41,2),"Mon","Tue","Wed","Thu","Fri","Sat","Sun"))</f>
        <v/>
      </c>
      <c r="AM41" s="110" t="n">
        <v>500</v>
      </c>
      <c r="AN41" s="110"/>
      <c r="AO41" s="110" t="str">
        <f aca="false">IF(AN41="","",AM41-AN41)</f>
        <v/>
      </c>
      <c r="AP41" s="124" t="s">
        <v>204</v>
      </c>
      <c r="AR41" s="102"/>
      <c r="AS41" s="103" t="str">
        <f aca="false">IF(AR41="","",CHOOSE(WEEKDAY(AR41,2),"Mon","Tue","Wed","Thu","Fri","Sat","Sun"))</f>
        <v/>
      </c>
      <c r="AT41" s="110" t="n">
        <v>500</v>
      </c>
      <c r="AU41" s="110"/>
      <c r="AV41" s="110" t="str">
        <f aca="false">IF(AU41="","",AT41-AU41)</f>
        <v/>
      </c>
      <c r="AW41" s="124" t="s">
        <v>204</v>
      </c>
    </row>
    <row r="42" customFormat="false" ht="21" hidden="false" customHeight="true" outlineLevel="0" collapsed="false">
      <c r="B42" s="102" t="n">
        <v>45037</v>
      </c>
      <c r="C42" s="103" t="str">
        <f aca="false">IF(B42="","",CHOOSE(WEEKDAY(B42,2),"Mon","Tue","Wed","Thu","Fri","Sat","Sun"))</f>
        <v>Fri</v>
      </c>
      <c r="D42" s="120" t="n">
        <v>100</v>
      </c>
      <c r="E42" s="120" t="n">
        <v>96</v>
      </c>
      <c r="F42" s="120" t="n">
        <f aca="false">IF(E42="","",D42-E42)</f>
        <v>4</v>
      </c>
      <c r="G42" s="123" t="s">
        <v>205</v>
      </c>
      <c r="I42" s="102" t="n">
        <v>45067</v>
      </c>
      <c r="J42" s="103" t="str">
        <f aca="false">IF(I42="","",CHOOSE(WEEKDAY(I42,2),"Mon","Tue","Wed","Thu","Fri","Sat","Sun"))</f>
        <v>Sun</v>
      </c>
      <c r="K42" s="120" t="n">
        <v>100</v>
      </c>
      <c r="L42" s="120" t="n">
        <v>97</v>
      </c>
      <c r="M42" s="120" t="n">
        <f aca="false">IF(L42="","",K42-L42)</f>
        <v>3</v>
      </c>
      <c r="N42" s="123" t="s">
        <v>205</v>
      </c>
      <c r="P42" s="102" t="n">
        <v>45098</v>
      </c>
      <c r="Q42" s="103" t="str">
        <f aca="false">IF(P42="","",CHOOSE(WEEKDAY(P42,2),"Mon","Tue","Wed","Thu","Fri","Sat","Sun"))</f>
        <v>Wed</v>
      </c>
      <c r="R42" s="120" t="n">
        <v>100</v>
      </c>
      <c r="S42" s="120" t="n">
        <v>96</v>
      </c>
      <c r="T42" s="120" t="n">
        <f aca="false">IF(S42="","",R42-S42)</f>
        <v>4</v>
      </c>
      <c r="U42" s="123" t="s">
        <v>205</v>
      </c>
      <c r="W42" s="102" t="n">
        <v>45128</v>
      </c>
      <c r="X42" s="103" t="str">
        <f aca="false">IF(W42="","",CHOOSE(WEEKDAY(W42,2),"Mon","Tue","Wed","Thu","Fri","Sat","Sun"))</f>
        <v>Fri</v>
      </c>
      <c r="Y42" s="120" t="n">
        <v>100</v>
      </c>
      <c r="Z42" s="120" t="n">
        <v>95.8</v>
      </c>
      <c r="AA42" s="120" t="n">
        <f aca="false">IF(Z42="","",Y42-Z42)</f>
        <v>4.2</v>
      </c>
      <c r="AB42" s="123" t="s">
        <v>205</v>
      </c>
      <c r="AD42" s="102"/>
      <c r="AE42" s="103" t="str">
        <f aca="false">IF(AD42="","",CHOOSE(WEEKDAY(AD42,2),"Mon","Tue","Wed","Thu","Fri","Sat","Sun"))</f>
        <v/>
      </c>
      <c r="AF42" s="110" t="n">
        <v>100</v>
      </c>
      <c r="AG42" s="110"/>
      <c r="AH42" s="110" t="str">
        <f aca="false">IF(AG42="","",AF42-AG42)</f>
        <v/>
      </c>
      <c r="AI42" s="124" t="s">
        <v>205</v>
      </c>
      <c r="AK42" s="102"/>
      <c r="AL42" s="103" t="str">
        <f aca="false">IF(AK42="","",CHOOSE(WEEKDAY(AK42,2),"Mon","Tue","Wed","Thu","Fri","Sat","Sun"))</f>
        <v/>
      </c>
      <c r="AM42" s="110" t="n">
        <v>100</v>
      </c>
      <c r="AN42" s="110"/>
      <c r="AO42" s="110" t="str">
        <f aca="false">IF(AN42="","",AM42-AN42)</f>
        <v/>
      </c>
      <c r="AP42" s="124" t="s">
        <v>205</v>
      </c>
      <c r="AR42" s="102"/>
      <c r="AS42" s="103" t="str">
        <f aca="false">IF(AR42="","",CHOOSE(WEEKDAY(AR42,2),"Mon","Tue","Wed","Thu","Fri","Sat","Sun"))</f>
        <v/>
      </c>
      <c r="AT42" s="110" t="n">
        <v>100</v>
      </c>
      <c r="AU42" s="110"/>
      <c r="AV42" s="110" t="str">
        <f aca="false">IF(AU42="","",AT42-AU42)</f>
        <v/>
      </c>
      <c r="AW42" s="124" t="s">
        <v>205</v>
      </c>
    </row>
    <row r="43" customFormat="false" ht="21" hidden="false" customHeight="true" outlineLevel="0" collapsed="false">
      <c r="B43" s="102"/>
      <c r="C43" s="103" t="str">
        <f aca="false">IF(B43="","",CHOOSE(WEEKDAY(B43,2),"Mon","Tue","Wed","Thu","Fri","Sat","Sun"))</f>
        <v/>
      </c>
      <c r="D43" s="125" t="n">
        <f aca="false">500-SUM(D44:D47)</f>
        <v>198</v>
      </c>
      <c r="E43" s="120" t="n">
        <v>0</v>
      </c>
      <c r="F43" s="120" t="n">
        <f aca="false">IF(E43="","",D43-E43)</f>
        <v>198</v>
      </c>
      <c r="G43" s="126" t="s">
        <v>206</v>
      </c>
      <c r="I43" s="102"/>
      <c r="J43" s="103" t="str">
        <f aca="false">IF(I43="","",CHOOSE(WEEKDAY(I43,2),"Mon","Tue","Wed","Thu","Fri","Sat","Sun"))</f>
        <v/>
      </c>
      <c r="K43" s="125" t="n">
        <f aca="false">500-SUM(K44:K47)</f>
        <v>11</v>
      </c>
      <c r="L43" s="120" t="n">
        <v>0</v>
      </c>
      <c r="M43" s="120" t="n">
        <f aca="false">IF(L43="","",K43-L43)</f>
        <v>11</v>
      </c>
      <c r="N43" s="126" t="s">
        <v>206</v>
      </c>
      <c r="P43" s="102"/>
      <c r="Q43" s="103" t="str">
        <f aca="false">IF(P43="","",CHOOSE(WEEKDAY(P43,2),"Mon","Tue","Wed","Thu","Fri","Sat","Sun"))</f>
        <v/>
      </c>
      <c r="R43" s="125" t="n">
        <f aca="false">500-SUM(R44:R47)</f>
        <v>-190</v>
      </c>
      <c r="S43" s="120" t="n">
        <v>0</v>
      </c>
      <c r="T43" s="120" t="n">
        <f aca="false">IF(S43="","",R43-S43)</f>
        <v>-190</v>
      </c>
      <c r="U43" s="126" t="s">
        <v>206</v>
      </c>
      <c r="W43" s="102"/>
      <c r="X43" s="103" t="str">
        <f aca="false">IF(W43="","",CHOOSE(WEEKDAY(W43,2),"Mon","Tue","Wed","Thu","Fri","Sat","Sun"))</f>
        <v/>
      </c>
      <c r="Y43" s="125" t="n">
        <f aca="false">500-SUM(Y44:Y47)</f>
        <v>121</v>
      </c>
      <c r="Z43" s="120" t="n">
        <v>0</v>
      </c>
      <c r="AA43" s="120" t="n">
        <f aca="false">IF(Z43="","",Y43-Z43)</f>
        <v>121</v>
      </c>
      <c r="AB43" s="126" t="s">
        <v>206</v>
      </c>
      <c r="AD43" s="102"/>
      <c r="AE43" s="103" t="str">
        <f aca="false">IF(AD43="","",CHOOSE(WEEKDAY(AD43,2),"Mon","Tue","Wed","Thu","Fri","Sat","Sun"))</f>
        <v/>
      </c>
      <c r="AF43" s="127" t="n">
        <f aca="false">500-SUM(AF44:AF47)</f>
        <v>216</v>
      </c>
      <c r="AG43" s="120"/>
      <c r="AH43" s="120" t="str">
        <f aca="false">IF(AG43="","",AF43-AG43)</f>
        <v/>
      </c>
      <c r="AI43" s="128" t="s">
        <v>206</v>
      </c>
      <c r="AK43" s="102"/>
      <c r="AL43" s="103" t="str">
        <f aca="false">IF(AK43="","",CHOOSE(WEEKDAY(AK43,2),"Mon","Tue","Wed","Thu","Fri","Sat","Sun"))</f>
        <v/>
      </c>
      <c r="AM43" s="127" t="n">
        <f aca="false">500-SUM(AM44:AM47)</f>
        <v>500</v>
      </c>
      <c r="AN43" s="120"/>
      <c r="AO43" s="120" t="str">
        <f aca="false">IF(AN43="","",AM43-AN43)</f>
        <v/>
      </c>
      <c r="AP43" s="128" t="s">
        <v>206</v>
      </c>
      <c r="AR43" s="102"/>
      <c r="AS43" s="103" t="str">
        <f aca="false">IF(AR43="","",CHOOSE(WEEKDAY(AR43,2),"Mon","Tue","Wed","Thu","Fri","Sat","Sun"))</f>
        <v/>
      </c>
      <c r="AT43" s="127" t="n">
        <f aca="false">500-SUM(AT44:AT47)</f>
        <v>500</v>
      </c>
      <c r="AU43" s="120"/>
      <c r="AV43" s="120" t="str">
        <f aca="false">IF(AU43="","",AT43-AU43)</f>
        <v/>
      </c>
      <c r="AW43" s="128" t="s">
        <v>206</v>
      </c>
    </row>
    <row r="44" customFormat="false" ht="21" hidden="false" customHeight="true" outlineLevel="0" collapsed="false">
      <c r="B44" s="102"/>
      <c r="C44" s="103" t="str">
        <f aca="false">IF(B44="","",CHOOSE(WEEKDAY(B44,2),"Mon","Tue","Wed","Thu","Fri","Sat","Sun"))</f>
        <v/>
      </c>
      <c r="D44" s="129" t="n">
        <f aca="false">21-1+63+50+10</f>
        <v>143</v>
      </c>
      <c r="E44" s="120" t="n">
        <f aca="false">D44</f>
        <v>143</v>
      </c>
      <c r="F44" s="120" t="n">
        <f aca="false">IF(E44="","",D44-E44)</f>
        <v>0</v>
      </c>
      <c r="G44" s="123" t="s">
        <v>207</v>
      </c>
      <c r="I44" s="102"/>
      <c r="J44" s="103" t="str">
        <f aca="false">IF(I44="","",CHOOSE(WEEKDAY(I44,2),"Mon","Tue","Wed","Thu","Fri","Sat","Sun"))</f>
        <v/>
      </c>
      <c r="K44" s="129" t="n">
        <f aca="false">14+39+22+28+1+28+28+38+20+21+20+21+28+22+20+21+9+13+28+23+6+9</f>
        <v>459</v>
      </c>
      <c r="L44" s="120" t="n">
        <f aca="false">K44</f>
        <v>459</v>
      </c>
      <c r="M44" s="120" t="n">
        <f aca="false">IF(L44="","",K44-L44)</f>
        <v>0</v>
      </c>
      <c r="N44" s="123" t="s">
        <v>207</v>
      </c>
      <c r="P44" s="102"/>
      <c r="Q44" s="103" t="str">
        <f aca="false">IF(P44="","",CHOOSE(WEEKDAY(P44,2),"Mon","Tue","Wed","Thu","Fri","Sat","Sun"))</f>
        <v/>
      </c>
      <c r="R44" s="129" t="n">
        <f aca="false">28+28+28+19+28+28-1+28+10+24+28+28+28+14+27+63-28</f>
        <v>380</v>
      </c>
      <c r="S44" s="120" t="n">
        <f aca="false">R44</f>
        <v>380</v>
      </c>
      <c r="T44" s="120" t="n">
        <f aca="false">IF(S44="","",R44-S44)</f>
        <v>0</v>
      </c>
      <c r="U44" s="123" t="s">
        <v>207</v>
      </c>
      <c r="W44" s="102"/>
      <c r="X44" s="103" t="str">
        <f aca="false">IF(W44="","",CHOOSE(WEEKDAY(W44,2),"Mon","Tue","Wed","Thu","Fri","Sat","Sun"))</f>
        <v/>
      </c>
      <c r="Y44" s="129" t="n">
        <f aca="false">40+34+19+47+27+11+1+20+62+27+21</f>
        <v>309</v>
      </c>
      <c r="Z44" s="120" t="n">
        <f aca="false">Y44</f>
        <v>309</v>
      </c>
      <c r="AA44" s="120" t="n">
        <f aca="false">IF(Z44="","",Y44-Z44)</f>
        <v>0</v>
      </c>
      <c r="AB44" s="123" t="s">
        <v>207</v>
      </c>
      <c r="AD44" s="102"/>
      <c r="AE44" s="103" t="str">
        <f aca="false">IF(AD44="","",CHOOSE(WEEKDAY(AD44,2),"Mon","Tue","Wed","Thu","Fri","Sat","Sun"))</f>
        <v/>
      </c>
      <c r="AF44" s="130" t="n">
        <f aca="false">12+36</f>
        <v>48</v>
      </c>
      <c r="AG44" s="120" t="n">
        <f aca="false">AF44</f>
        <v>48</v>
      </c>
      <c r="AH44" s="110" t="n">
        <f aca="false">IF(AG44="","",AF44-AG44)</f>
        <v>0</v>
      </c>
      <c r="AI44" s="124" t="s">
        <v>207</v>
      </c>
      <c r="AK44" s="102"/>
      <c r="AL44" s="103" t="str">
        <f aca="false">IF(AK44="","",CHOOSE(WEEKDAY(AK44,2),"Mon","Tue","Wed","Thu","Fri","Sat","Sun"))</f>
        <v/>
      </c>
      <c r="AM44" s="130"/>
      <c r="AN44" s="120" t="n">
        <f aca="false">AM44</f>
        <v>0</v>
      </c>
      <c r="AO44" s="110" t="n">
        <f aca="false">IF(AN44="","",AM44-AN44)</f>
        <v>0</v>
      </c>
      <c r="AP44" s="124" t="s">
        <v>207</v>
      </c>
      <c r="AR44" s="102"/>
      <c r="AS44" s="103" t="str">
        <f aca="false">IF(AR44="","",CHOOSE(WEEKDAY(AR44,2),"Mon","Tue","Wed","Thu","Fri","Sat","Sun"))</f>
        <v/>
      </c>
      <c r="AT44" s="130"/>
      <c r="AU44" s="120" t="n">
        <f aca="false">AT44</f>
        <v>0</v>
      </c>
      <c r="AV44" s="110" t="n">
        <f aca="false">IF(AU44="","",AT44-AU44)</f>
        <v>0</v>
      </c>
      <c r="AW44" s="124" t="s">
        <v>207</v>
      </c>
    </row>
    <row r="45" customFormat="false" ht="21" hidden="false" customHeight="true" outlineLevel="0" collapsed="false">
      <c r="B45" s="102"/>
      <c r="C45" s="103" t="str">
        <f aca="false">IF(B45="","",CHOOSE(WEEKDAY(B45,2),"Mon","Tue","Wed","Thu","Fri","Sat","Sun"))</f>
        <v/>
      </c>
      <c r="D45" s="129" t="n">
        <v>90</v>
      </c>
      <c r="E45" s="120" t="n">
        <v>90</v>
      </c>
      <c r="F45" s="120" t="n">
        <f aca="false">IF(E45="","",D45-E45)</f>
        <v>0</v>
      </c>
      <c r="G45" s="123" t="s">
        <v>208</v>
      </c>
      <c r="I45" s="102"/>
      <c r="J45" s="103" t="str">
        <f aca="false">IF(I45="","",CHOOSE(WEEKDAY(I45,2),"Mon","Tue","Wed","Thu","Fri","Sat","Sun"))</f>
        <v/>
      </c>
      <c r="K45" s="129"/>
      <c r="L45" s="120" t="n">
        <f aca="false">K45</f>
        <v>0</v>
      </c>
      <c r="M45" s="120" t="n">
        <f aca="false">IF(L45="","",K45-L45)</f>
        <v>0</v>
      </c>
      <c r="N45" s="123" t="s">
        <v>208</v>
      </c>
      <c r="P45" s="102"/>
      <c r="Q45" s="103" t="str">
        <f aca="false">IF(P45="","",CHOOSE(WEEKDAY(P45,2),"Mon","Tue","Wed","Thu","Fri","Sat","Sun"))</f>
        <v/>
      </c>
      <c r="R45" s="129"/>
      <c r="S45" s="120" t="n">
        <f aca="false">R45</f>
        <v>0</v>
      </c>
      <c r="T45" s="120" t="n">
        <f aca="false">IF(S45="","",R45-S45)</f>
        <v>0</v>
      </c>
      <c r="U45" s="123" t="s">
        <v>208</v>
      </c>
      <c r="W45" s="102"/>
      <c r="X45" s="103" t="str">
        <f aca="false">IF(W45="","",CHOOSE(WEEKDAY(W45,2),"Mon","Tue","Wed","Thu","Fri","Sat","Sun"))</f>
        <v/>
      </c>
      <c r="Y45" s="129"/>
      <c r="Z45" s="120" t="n">
        <f aca="false">Y45</f>
        <v>0</v>
      </c>
      <c r="AA45" s="120" t="n">
        <f aca="false">IF(Z45="","",Y45-Z45)</f>
        <v>0</v>
      </c>
      <c r="AB45" s="123" t="s">
        <v>208</v>
      </c>
      <c r="AD45" s="102"/>
      <c r="AE45" s="103" t="str">
        <f aca="false">IF(AD45="","",CHOOSE(WEEKDAY(AD45,2),"Mon","Tue","Wed","Thu","Fri","Sat","Sun"))</f>
        <v/>
      </c>
      <c r="AF45" s="129" t="n">
        <f aca="false">50+110+76</f>
        <v>236</v>
      </c>
      <c r="AG45" s="120" t="n">
        <f aca="false">AF45</f>
        <v>236</v>
      </c>
      <c r="AH45" s="120" t="n">
        <f aca="false">IF(AG45="","",AF45-AG45)</f>
        <v>0</v>
      </c>
      <c r="AI45" s="123" t="s">
        <v>208</v>
      </c>
      <c r="AK45" s="102"/>
      <c r="AL45" s="103" t="str">
        <f aca="false">IF(AK45="","",CHOOSE(WEEKDAY(AK45,2),"Mon","Tue","Wed","Thu","Fri","Sat","Sun"))</f>
        <v/>
      </c>
      <c r="AM45" s="130"/>
      <c r="AN45" s="120" t="n">
        <f aca="false">AM45</f>
        <v>0</v>
      </c>
      <c r="AO45" s="110" t="n">
        <f aca="false">IF(AN45="","",AM45-AN45)</f>
        <v>0</v>
      </c>
      <c r="AP45" s="124" t="s">
        <v>208</v>
      </c>
      <c r="AR45" s="102"/>
      <c r="AS45" s="103" t="str">
        <f aca="false">IF(AR45="","",CHOOSE(WEEKDAY(AR45,2),"Mon","Tue","Wed","Thu","Fri","Sat","Sun"))</f>
        <v/>
      </c>
      <c r="AT45" s="130"/>
      <c r="AU45" s="120" t="n">
        <f aca="false">AT45</f>
        <v>0</v>
      </c>
      <c r="AV45" s="110" t="n">
        <f aca="false">IF(AU45="","",AT45-AU45)</f>
        <v>0</v>
      </c>
      <c r="AW45" s="124" t="s">
        <v>208</v>
      </c>
    </row>
    <row r="46" customFormat="false" ht="21" hidden="false" customHeight="true" outlineLevel="0" collapsed="false">
      <c r="B46" s="102"/>
      <c r="C46" s="103" t="str">
        <f aca="false">IF(B46="","",CHOOSE(WEEKDAY(B46,2),"Mon","Tue","Wed","Thu","Fri","Sat","Sun"))</f>
        <v/>
      </c>
      <c r="D46" s="129" t="n">
        <f aca="false">39+30</f>
        <v>69</v>
      </c>
      <c r="E46" s="120" t="n">
        <f aca="false">D46</f>
        <v>69</v>
      </c>
      <c r="F46" s="120" t="n">
        <f aca="false">IF(E46="","",D46-E46)</f>
        <v>0</v>
      </c>
      <c r="G46" s="123" t="s">
        <v>209</v>
      </c>
      <c r="I46" s="102"/>
      <c r="J46" s="103" t="str">
        <f aca="false">IF(I46="","",CHOOSE(WEEKDAY(I46,2),"Mon","Tue","Wed","Thu","Fri","Sat","Sun"))</f>
        <v/>
      </c>
      <c r="K46" s="129" t="n">
        <v>30</v>
      </c>
      <c r="L46" s="120" t="n">
        <f aca="false">K46</f>
        <v>30</v>
      </c>
      <c r="M46" s="120" t="n">
        <f aca="false">IF(L46="","",K46-L46)</f>
        <v>0</v>
      </c>
      <c r="N46" s="123" t="s">
        <v>209</v>
      </c>
      <c r="P46" s="102"/>
      <c r="Q46" s="103" t="str">
        <f aca="false">IF(P46="","",CHOOSE(WEEKDAY(P46,2),"Mon","Tue","Wed","Thu","Fri","Sat","Sun"))</f>
        <v/>
      </c>
      <c r="R46" s="129" t="n">
        <f aca="false">30+30+250</f>
        <v>310</v>
      </c>
      <c r="S46" s="120" t="n">
        <f aca="false">R46</f>
        <v>310</v>
      </c>
      <c r="T46" s="120" t="n">
        <f aca="false">IF(S46="","",R46-S46)</f>
        <v>0</v>
      </c>
      <c r="U46" s="123" t="s">
        <v>209</v>
      </c>
      <c r="W46" s="102"/>
      <c r="X46" s="103" t="str">
        <f aca="false">IF(W46="","",CHOOSE(WEEKDAY(W46,2),"Mon","Tue","Wed","Thu","Fri","Sat","Sun"))</f>
        <v/>
      </c>
      <c r="Y46" s="129" t="n">
        <f aca="false">30+10+15</f>
        <v>55</v>
      </c>
      <c r="Z46" s="120" t="n">
        <f aca="false">Y46</f>
        <v>55</v>
      </c>
      <c r="AA46" s="120" t="n">
        <f aca="false">IF(Z46="","",Y46-Z46)</f>
        <v>0</v>
      </c>
      <c r="AB46" s="123" t="s">
        <v>209</v>
      </c>
      <c r="AD46" s="102"/>
      <c r="AE46" s="103" t="str">
        <f aca="false">IF(AD46="","",CHOOSE(WEEKDAY(AD46,2),"Mon","Tue","Wed","Thu","Fri","Sat","Sun"))</f>
        <v/>
      </c>
      <c r="AF46" s="130"/>
      <c r="AG46" s="120" t="n">
        <f aca="false">AF46</f>
        <v>0</v>
      </c>
      <c r="AH46" s="110" t="n">
        <f aca="false">IF(AG46="","",AF46-AG46)</f>
        <v>0</v>
      </c>
      <c r="AI46" s="124" t="s">
        <v>209</v>
      </c>
      <c r="AK46" s="102"/>
      <c r="AL46" s="103" t="str">
        <f aca="false">IF(AK46="","",CHOOSE(WEEKDAY(AK46,2),"Mon","Tue","Wed","Thu","Fri","Sat","Sun"))</f>
        <v/>
      </c>
      <c r="AM46" s="130"/>
      <c r="AN46" s="120" t="n">
        <f aca="false">AM46</f>
        <v>0</v>
      </c>
      <c r="AO46" s="110" t="n">
        <f aca="false">IF(AN46="","",AM46-AN46)</f>
        <v>0</v>
      </c>
      <c r="AP46" s="124" t="s">
        <v>209</v>
      </c>
      <c r="AR46" s="102"/>
      <c r="AS46" s="103" t="str">
        <f aca="false">IF(AR46="","",CHOOSE(WEEKDAY(AR46,2),"Mon","Tue","Wed","Thu","Fri","Sat","Sun"))</f>
        <v/>
      </c>
      <c r="AT46" s="130"/>
      <c r="AU46" s="120" t="n">
        <f aca="false">AT46</f>
        <v>0</v>
      </c>
      <c r="AV46" s="110" t="n">
        <f aca="false">IF(AU46="","",AT46-AU46)</f>
        <v>0</v>
      </c>
      <c r="AW46" s="124" t="s">
        <v>209</v>
      </c>
    </row>
    <row r="47" customFormat="false" ht="21" hidden="false" customHeight="true" outlineLevel="0" collapsed="false">
      <c r="B47" s="102"/>
      <c r="C47" s="103" t="str">
        <f aca="false">IF(B47="","",CHOOSE(WEEKDAY(B47,2),"Mon","Tue","Wed","Thu","Fri","Sat","Sun"))</f>
        <v/>
      </c>
      <c r="D47" s="131"/>
      <c r="E47" s="120" t="n">
        <f aca="false">D47</f>
        <v>0</v>
      </c>
      <c r="F47" s="120" t="n">
        <f aca="false">IF(E47="","",D47-E47)</f>
        <v>0</v>
      </c>
      <c r="G47" s="123" t="s">
        <v>210</v>
      </c>
      <c r="I47" s="102"/>
      <c r="J47" s="103" t="str">
        <f aca="false">IF(I47="","",CHOOSE(WEEKDAY(I47,2),"Mon","Tue","Wed","Thu","Fri","Sat","Sun"))</f>
        <v/>
      </c>
      <c r="K47" s="131"/>
      <c r="L47" s="120" t="n">
        <f aca="false">K47</f>
        <v>0</v>
      </c>
      <c r="M47" s="120" t="n">
        <f aca="false">IF(L47="","",K47-L47)</f>
        <v>0</v>
      </c>
      <c r="N47" s="123" t="s">
        <v>210</v>
      </c>
      <c r="P47" s="102"/>
      <c r="Q47" s="103" t="str">
        <f aca="false">IF(P47="","",CHOOSE(WEEKDAY(P47,2),"Mon","Tue","Wed","Thu","Fri","Sat","Sun"))</f>
        <v/>
      </c>
      <c r="R47" s="131"/>
      <c r="S47" s="120" t="n">
        <f aca="false">R47</f>
        <v>0</v>
      </c>
      <c r="T47" s="120" t="n">
        <f aca="false">IF(S47="","",R47-S47)</f>
        <v>0</v>
      </c>
      <c r="U47" s="123" t="s">
        <v>210</v>
      </c>
      <c r="W47" s="102"/>
      <c r="X47" s="103" t="str">
        <f aca="false">IF(W47="","",CHOOSE(WEEKDAY(W47,2),"Mon","Tue","Wed","Thu","Fri","Sat","Sun"))</f>
        <v/>
      </c>
      <c r="Y47" s="131" t="n">
        <f aca="false">15</f>
        <v>15</v>
      </c>
      <c r="Z47" s="120" t="n">
        <f aca="false">Y47</f>
        <v>15</v>
      </c>
      <c r="AA47" s="120" t="n">
        <f aca="false">IF(Z47="","",Y47-Z47)</f>
        <v>0</v>
      </c>
      <c r="AB47" s="123" t="s">
        <v>210</v>
      </c>
      <c r="AD47" s="102"/>
      <c r="AE47" s="103" t="str">
        <f aca="false">IF(AD47="","",CHOOSE(WEEKDAY(AD47,2),"Mon","Tue","Wed","Thu","Fri","Sat","Sun"))</f>
        <v/>
      </c>
      <c r="AF47" s="131"/>
      <c r="AG47" s="120" t="n">
        <f aca="false">AF47</f>
        <v>0</v>
      </c>
      <c r="AH47" s="120" t="n">
        <f aca="false">IF(AG47="","",AF47-AG47)</f>
        <v>0</v>
      </c>
      <c r="AI47" s="123" t="s">
        <v>210</v>
      </c>
      <c r="AK47" s="102"/>
      <c r="AL47" s="103" t="str">
        <f aca="false">IF(AK47="","",CHOOSE(WEEKDAY(AK47,2),"Mon","Tue","Wed","Thu","Fri","Sat","Sun"))</f>
        <v/>
      </c>
      <c r="AM47" s="131"/>
      <c r="AN47" s="120" t="n">
        <f aca="false">AM47</f>
        <v>0</v>
      </c>
      <c r="AO47" s="120" t="n">
        <f aca="false">IF(AN47="","",AM47-AN47)</f>
        <v>0</v>
      </c>
      <c r="AP47" s="123" t="s">
        <v>210</v>
      </c>
      <c r="AR47" s="102"/>
      <c r="AS47" s="103" t="str">
        <f aca="false">IF(AR47="","",CHOOSE(WEEKDAY(AR47,2),"Mon","Tue","Wed","Thu","Fri","Sat","Sun"))</f>
        <v/>
      </c>
      <c r="AT47" s="131"/>
      <c r="AU47" s="120" t="n">
        <f aca="false">AT47</f>
        <v>0</v>
      </c>
      <c r="AV47" s="120" t="n">
        <f aca="false">IF(AU47="","",AT47-AU47)</f>
        <v>0</v>
      </c>
      <c r="AW47" s="123" t="s">
        <v>210</v>
      </c>
    </row>
    <row r="48" customFormat="false" ht="21" hidden="false" customHeight="true" outlineLevel="0" collapsed="false">
      <c r="B48" s="102"/>
      <c r="C48" s="103" t="str">
        <f aca="false">IF(B48="","",CHOOSE(WEEKDAY(B48,2),"Mon","Tue","Wed","Thu","Fri","Sat","Sun"))</f>
        <v/>
      </c>
      <c r="D48" s="125" t="n">
        <f aca="false">50-D49</f>
        <v>20</v>
      </c>
      <c r="E48" s="132" t="n">
        <v>0</v>
      </c>
      <c r="F48" s="132" t="n">
        <f aca="false">IF(E48="","",D48-E48)</f>
        <v>20</v>
      </c>
      <c r="G48" s="133" t="s">
        <v>211</v>
      </c>
      <c r="I48" s="102"/>
      <c r="J48" s="103" t="str">
        <f aca="false">IF(I48="","",CHOOSE(WEEKDAY(I48,2),"Mon","Tue","Wed","Thu","Fri","Sat","Sun"))</f>
        <v/>
      </c>
      <c r="K48" s="125" t="n">
        <f aca="false">50-K49</f>
        <v>14</v>
      </c>
      <c r="L48" s="132" t="n">
        <v>0</v>
      </c>
      <c r="M48" s="132" t="n">
        <f aca="false">IF(L48="","",K48-L48)</f>
        <v>14</v>
      </c>
      <c r="N48" s="133" t="s">
        <v>211</v>
      </c>
      <c r="P48" s="102"/>
      <c r="Q48" s="103" t="str">
        <f aca="false">IF(P48="","",CHOOSE(WEEKDAY(P48,2),"Mon","Tue","Wed","Thu","Fri","Sat","Sun"))</f>
        <v/>
      </c>
      <c r="R48" s="125" t="n">
        <f aca="false">50-R49</f>
        <v>22</v>
      </c>
      <c r="S48" s="132" t="n">
        <v>0</v>
      </c>
      <c r="T48" s="132" t="n">
        <f aca="false">IF(S48="","",R48-S48)</f>
        <v>22</v>
      </c>
      <c r="U48" s="133" t="s">
        <v>211</v>
      </c>
      <c r="W48" s="102"/>
      <c r="X48" s="103" t="str">
        <f aca="false">IF(W48="","",CHOOSE(WEEKDAY(W48,2),"Mon","Tue","Wed","Thu","Fri","Sat","Sun"))</f>
        <v/>
      </c>
      <c r="Y48" s="125" t="n">
        <f aca="false">50-Y49</f>
        <v>23</v>
      </c>
      <c r="Z48" s="132" t="n">
        <v>0</v>
      </c>
      <c r="AA48" s="132" t="n">
        <f aca="false">IF(Z48="","",Y48-Z48)</f>
        <v>23</v>
      </c>
      <c r="AB48" s="133" t="s">
        <v>211</v>
      </c>
      <c r="AD48" s="102"/>
      <c r="AE48" s="103" t="str">
        <f aca="false">IF(AD48="","",CHOOSE(WEEKDAY(AD48,2),"Mon","Tue","Wed","Thu","Fri","Sat","Sun"))</f>
        <v/>
      </c>
      <c r="AF48" s="127" t="n">
        <f aca="false">50-AF49</f>
        <v>47</v>
      </c>
      <c r="AG48" s="132"/>
      <c r="AH48" s="132" t="str">
        <f aca="false">IF(AG48="","",AF48-AG48)</f>
        <v/>
      </c>
      <c r="AI48" s="134" t="s">
        <v>211</v>
      </c>
      <c r="AK48" s="102"/>
      <c r="AL48" s="103" t="str">
        <f aca="false">IF(AK48="","",CHOOSE(WEEKDAY(AK48,2),"Mon","Tue","Wed","Thu","Fri","Sat","Sun"))</f>
        <v/>
      </c>
      <c r="AM48" s="127" t="n">
        <f aca="false">50-AM49</f>
        <v>50</v>
      </c>
      <c r="AN48" s="132"/>
      <c r="AO48" s="132" t="str">
        <f aca="false">IF(AN48="","",AM48-AN48)</f>
        <v/>
      </c>
      <c r="AP48" s="134" t="s">
        <v>211</v>
      </c>
      <c r="AR48" s="102"/>
      <c r="AS48" s="103" t="str">
        <f aca="false">IF(AR48="","",CHOOSE(WEEKDAY(AR48,2),"Mon","Tue","Wed","Thu","Fri","Sat","Sun"))</f>
        <v/>
      </c>
      <c r="AT48" s="127" t="n">
        <f aca="false">50-AT49</f>
        <v>50</v>
      </c>
      <c r="AU48" s="132"/>
      <c r="AV48" s="132" t="str">
        <f aca="false">IF(AU48="","",AT48-AU48)</f>
        <v/>
      </c>
      <c r="AW48" s="134" t="s">
        <v>211</v>
      </c>
    </row>
    <row r="49" customFormat="false" ht="21" hidden="false" customHeight="true" outlineLevel="0" collapsed="false">
      <c r="B49" s="102"/>
      <c r="C49" s="103" t="str">
        <f aca="false">IF(B49="","",CHOOSE(WEEKDAY(B49,2),"Mon","Tue","Wed","Thu","Fri","Sat","Sun"))</f>
        <v/>
      </c>
      <c r="D49" s="131" t="n">
        <f aca="false">5+5+15+5</f>
        <v>30</v>
      </c>
      <c r="E49" s="135" t="n">
        <f aca="false">D49</f>
        <v>30</v>
      </c>
      <c r="F49" s="120" t="n">
        <f aca="false">IF(E49="","",D49-E49)</f>
        <v>0</v>
      </c>
      <c r="G49" s="136" t="s">
        <v>212</v>
      </c>
      <c r="I49" s="102"/>
      <c r="J49" s="103" t="str">
        <f aca="false">IF(I49="","",CHOOSE(WEEKDAY(I49,2),"Mon","Tue","Wed","Thu","Fri","Sat","Sun"))</f>
        <v/>
      </c>
      <c r="K49" s="131" t="n">
        <f aca="false">3+5+5+5+15+3</f>
        <v>36</v>
      </c>
      <c r="L49" s="135" t="n">
        <f aca="false">K49</f>
        <v>36</v>
      </c>
      <c r="M49" s="120" t="n">
        <f aca="false">IF(L49="","",K49-L49)</f>
        <v>0</v>
      </c>
      <c r="N49" s="136" t="s">
        <v>212</v>
      </c>
      <c r="P49" s="102"/>
      <c r="Q49" s="103" t="str">
        <f aca="false">IF(P49="","",CHOOSE(WEEKDAY(P49,2),"Mon","Tue","Wed","Thu","Fri","Sat","Sun"))</f>
        <v/>
      </c>
      <c r="R49" s="131" t="n">
        <f aca="false">5+5+5+5+5+3</f>
        <v>28</v>
      </c>
      <c r="S49" s="135" t="n">
        <f aca="false">R49</f>
        <v>28</v>
      </c>
      <c r="T49" s="120" t="n">
        <f aca="false">IF(S49="","",R49-S49)</f>
        <v>0</v>
      </c>
      <c r="U49" s="136" t="s">
        <v>212</v>
      </c>
      <c r="W49" s="102"/>
      <c r="X49" s="103" t="str">
        <f aca="false">IF(W49="","",CHOOSE(WEEKDAY(W49,2),"Mon","Tue","Wed","Thu","Fri","Sat","Sun"))</f>
        <v/>
      </c>
      <c r="Y49" s="131" t="n">
        <f aca="false">3+5+5+5+10-1</f>
        <v>27</v>
      </c>
      <c r="Z49" s="135" t="n">
        <f aca="false">Y49</f>
        <v>27</v>
      </c>
      <c r="AA49" s="120" t="n">
        <f aca="false">IF(Z49="","",Y49-Z49)</f>
        <v>0</v>
      </c>
      <c r="AB49" s="136" t="s">
        <v>212</v>
      </c>
      <c r="AD49" s="102"/>
      <c r="AE49" s="103" t="str">
        <f aca="false">IF(AD49="","",CHOOSE(WEEKDAY(AD49,2),"Mon","Tue","Wed","Thu","Fri","Sat","Sun"))</f>
        <v/>
      </c>
      <c r="AF49" s="137" t="n">
        <f aca="false">3</f>
        <v>3</v>
      </c>
      <c r="AG49" s="135" t="n">
        <f aca="false">AF49</f>
        <v>3</v>
      </c>
      <c r="AH49" s="110" t="n">
        <f aca="false">IF(AG49="","",AF49-AG49)</f>
        <v>0</v>
      </c>
      <c r="AI49" s="138" t="s">
        <v>212</v>
      </c>
      <c r="AK49" s="102"/>
      <c r="AL49" s="103" t="str">
        <f aca="false">IF(AK49="","",CHOOSE(WEEKDAY(AK49,2),"Mon","Tue","Wed","Thu","Fri","Sat","Sun"))</f>
        <v/>
      </c>
      <c r="AM49" s="137" t="n">
        <f aca="false">0</f>
        <v>0</v>
      </c>
      <c r="AN49" s="135" t="n">
        <f aca="false">AM49</f>
        <v>0</v>
      </c>
      <c r="AO49" s="110" t="n">
        <f aca="false">IF(AN49="","",AM49-AN49)</f>
        <v>0</v>
      </c>
      <c r="AP49" s="138" t="s">
        <v>212</v>
      </c>
      <c r="AR49" s="102"/>
      <c r="AS49" s="103" t="str">
        <f aca="false">IF(AR49="","",CHOOSE(WEEKDAY(AR49,2),"Mon","Tue","Wed","Thu","Fri","Sat","Sun"))</f>
        <v/>
      </c>
      <c r="AT49" s="137" t="n">
        <f aca="false">0</f>
        <v>0</v>
      </c>
      <c r="AU49" s="135" t="n">
        <f aca="false">AT49</f>
        <v>0</v>
      </c>
      <c r="AV49" s="110" t="n">
        <f aca="false">IF(AU49="","",AT49-AU49)</f>
        <v>0</v>
      </c>
      <c r="AW49" s="138" t="s">
        <v>212</v>
      </c>
    </row>
    <row r="50" customFormat="false" ht="21" hidden="false" customHeight="true" outlineLevel="0" collapsed="false">
      <c r="B50" s="114" t="s">
        <v>199</v>
      </c>
      <c r="C50" s="114"/>
      <c r="D50" s="115" t="n">
        <f aca="false">SUM(D39:D49)</f>
        <v>1400</v>
      </c>
      <c r="E50" s="115" t="n">
        <f aca="false">SUM(E39:E49)</f>
        <v>1155</v>
      </c>
      <c r="F50" s="115" t="n">
        <f aca="false">SUM(F39:F49)</f>
        <v>245</v>
      </c>
      <c r="G50" s="139"/>
      <c r="I50" s="114" t="s">
        <v>199</v>
      </c>
      <c r="J50" s="114"/>
      <c r="K50" s="115" t="n">
        <f aca="false">SUM(K39:K49)</f>
        <v>1259</v>
      </c>
      <c r="L50" s="115" t="n">
        <f aca="false">SUM(L39:L49)</f>
        <v>1164</v>
      </c>
      <c r="M50" s="115" t="n">
        <f aca="false">SUM(M39:M49)</f>
        <v>95</v>
      </c>
      <c r="N50" s="139"/>
      <c r="P50" s="114" t="s">
        <v>199</v>
      </c>
      <c r="Q50" s="114"/>
      <c r="R50" s="115" t="n">
        <f aca="false">SUM(R39:R49)</f>
        <v>1400</v>
      </c>
      <c r="S50" s="115" t="n">
        <f aca="false">SUM(S39:S49)</f>
        <v>1401</v>
      </c>
      <c r="T50" s="115" t="n">
        <f aca="false">SUM(T39:T49)</f>
        <v>-1</v>
      </c>
      <c r="U50" s="139"/>
      <c r="W50" s="114" t="s">
        <v>199</v>
      </c>
      <c r="X50" s="114"/>
      <c r="Y50" s="115" t="n">
        <f aca="false">SUM(Y39:Y49)</f>
        <v>1400</v>
      </c>
      <c r="Z50" s="115" t="n">
        <f aca="false">SUM(Z39:Z49)</f>
        <v>1093.13</v>
      </c>
      <c r="AA50" s="115" t="n">
        <f aca="false">SUM(AA39:AA49)</f>
        <v>306.87</v>
      </c>
      <c r="AB50" s="139"/>
      <c r="AD50" s="114" t="s">
        <v>199</v>
      </c>
      <c r="AE50" s="114"/>
      <c r="AF50" s="115" t="n">
        <f aca="false">SUM(AF39:AF49)</f>
        <v>1400</v>
      </c>
      <c r="AG50" s="115" t="n">
        <f aca="false">SUM(AG39:AG49)</f>
        <v>287</v>
      </c>
      <c r="AH50" s="115" t="n">
        <f aca="false">SUM(AH39:AH49)</f>
        <v>0</v>
      </c>
      <c r="AI50" s="139"/>
      <c r="AK50" s="114" t="s">
        <v>199</v>
      </c>
      <c r="AL50" s="114"/>
      <c r="AM50" s="115" t="n">
        <f aca="false">SUM(AM39:AM49)</f>
        <v>1400</v>
      </c>
      <c r="AN50" s="115" t="n">
        <f aca="false">SUM(AN39:AN49)</f>
        <v>0</v>
      </c>
      <c r="AO50" s="115" t="n">
        <f aca="false">SUM(AO39:AO49)</f>
        <v>0</v>
      </c>
      <c r="AP50" s="139"/>
      <c r="AR50" s="114" t="s">
        <v>199</v>
      </c>
      <c r="AS50" s="114"/>
      <c r="AT50" s="115" t="n">
        <f aca="false">SUM(AT39:AT49)</f>
        <v>1400</v>
      </c>
      <c r="AU50" s="115" t="n">
        <f aca="false">SUM(AU39:AU49)</f>
        <v>0</v>
      </c>
      <c r="AV50" s="115" t="n">
        <f aca="false">SUM(AV39:AV49)</f>
        <v>0</v>
      </c>
      <c r="AW50" s="139"/>
    </row>
    <row r="51" customFormat="false" ht="21" hidden="false" customHeight="true" outlineLevel="0" collapsed="false"/>
    <row r="52" customFormat="false" ht="21" hidden="false" customHeight="true" outlineLevel="0" collapsed="false">
      <c r="B52" s="119" t="s">
        <v>213</v>
      </c>
      <c r="C52" s="119"/>
      <c r="D52" s="119"/>
      <c r="E52" s="119"/>
      <c r="F52" s="119"/>
      <c r="G52" s="119"/>
      <c r="I52" s="119" t="s">
        <v>213</v>
      </c>
      <c r="J52" s="119"/>
      <c r="K52" s="119"/>
      <c r="L52" s="119"/>
      <c r="M52" s="119"/>
      <c r="N52" s="119"/>
      <c r="P52" s="119" t="s">
        <v>213</v>
      </c>
      <c r="Q52" s="119"/>
      <c r="R52" s="119"/>
      <c r="S52" s="119"/>
      <c r="T52" s="119"/>
      <c r="U52" s="119"/>
      <c r="W52" s="119" t="s">
        <v>213</v>
      </c>
      <c r="X52" s="119"/>
      <c r="Y52" s="119"/>
      <c r="Z52" s="119"/>
      <c r="AA52" s="119"/>
      <c r="AB52" s="119"/>
      <c r="AD52" s="119" t="s">
        <v>213</v>
      </c>
      <c r="AE52" s="119"/>
      <c r="AF52" s="119"/>
      <c r="AG52" s="119"/>
      <c r="AH52" s="119"/>
      <c r="AI52" s="119"/>
      <c r="AK52" s="119" t="s">
        <v>213</v>
      </c>
      <c r="AL52" s="119"/>
      <c r="AM52" s="119"/>
      <c r="AN52" s="119"/>
      <c r="AO52" s="119"/>
      <c r="AP52" s="119"/>
      <c r="AR52" s="119" t="s">
        <v>213</v>
      </c>
      <c r="AS52" s="119"/>
      <c r="AT52" s="119"/>
      <c r="AU52" s="119"/>
      <c r="AV52" s="119"/>
      <c r="AW52" s="119"/>
    </row>
    <row r="53" customFormat="false" ht="21" hidden="false" customHeight="true" outlineLevel="0" collapsed="false">
      <c r="B53" s="96" t="s">
        <v>7</v>
      </c>
      <c r="C53" s="97" t="s">
        <v>179</v>
      </c>
      <c r="D53" s="140" t="s">
        <v>180</v>
      </c>
      <c r="E53" s="98" t="s">
        <v>181</v>
      </c>
      <c r="F53" s="98" t="s">
        <v>183</v>
      </c>
      <c r="G53" s="100" t="s">
        <v>214</v>
      </c>
      <c r="I53" s="96" t="s">
        <v>7</v>
      </c>
      <c r="J53" s="97" t="s">
        <v>179</v>
      </c>
      <c r="K53" s="140" t="s">
        <v>180</v>
      </c>
      <c r="L53" s="98" t="s">
        <v>181</v>
      </c>
      <c r="M53" s="98" t="s">
        <v>183</v>
      </c>
      <c r="N53" s="100" t="s">
        <v>214</v>
      </c>
      <c r="P53" s="96" t="s">
        <v>7</v>
      </c>
      <c r="Q53" s="97" t="s">
        <v>179</v>
      </c>
      <c r="R53" s="140" t="s">
        <v>180</v>
      </c>
      <c r="S53" s="98" t="s">
        <v>181</v>
      </c>
      <c r="T53" s="98" t="s">
        <v>183</v>
      </c>
      <c r="U53" s="100" t="s">
        <v>214</v>
      </c>
      <c r="W53" s="96" t="s">
        <v>7</v>
      </c>
      <c r="X53" s="97" t="s">
        <v>179</v>
      </c>
      <c r="Y53" s="140" t="s">
        <v>180</v>
      </c>
      <c r="Z53" s="98" t="s">
        <v>181</v>
      </c>
      <c r="AA53" s="98" t="s">
        <v>183</v>
      </c>
      <c r="AB53" s="100" t="s">
        <v>214</v>
      </c>
      <c r="AD53" s="96" t="s">
        <v>7</v>
      </c>
      <c r="AE53" s="97" t="s">
        <v>179</v>
      </c>
      <c r="AF53" s="140" t="s">
        <v>180</v>
      </c>
      <c r="AG53" s="98" t="s">
        <v>181</v>
      </c>
      <c r="AH53" s="98" t="s">
        <v>183</v>
      </c>
      <c r="AI53" s="100" t="s">
        <v>214</v>
      </c>
      <c r="AK53" s="96" t="s">
        <v>7</v>
      </c>
      <c r="AL53" s="97" t="s">
        <v>179</v>
      </c>
      <c r="AM53" s="140" t="s">
        <v>180</v>
      </c>
      <c r="AN53" s="98" t="s">
        <v>181</v>
      </c>
      <c r="AO53" s="98" t="s">
        <v>183</v>
      </c>
      <c r="AP53" s="100" t="s">
        <v>214</v>
      </c>
      <c r="AR53" s="96" t="s">
        <v>7</v>
      </c>
      <c r="AS53" s="97" t="s">
        <v>179</v>
      </c>
      <c r="AT53" s="140" t="s">
        <v>180</v>
      </c>
      <c r="AU53" s="98" t="s">
        <v>181</v>
      </c>
      <c r="AV53" s="98" t="s">
        <v>183</v>
      </c>
      <c r="AW53" s="100" t="s">
        <v>214</v>
      </c>
    </row>
    <row r="54" customFormat="false" ht="21" hidden="false" customHeight="true" outlineLevel="0" collapsed="false">
      <c r="B54" s="102"/>
      <c r="C54" s="141" t="str">
        <f aca="false">IF(B54="","",CHOOSE(WEEKDAY(B54,2),"Mon","Tue","Wed","Thu","Fri","Sat","Sun"))</f>
        <v/>
      </c>
      <c r="D54" s="125" t="n">
        <f aca="false">2650-5200+2200-SUM(D55:D57)-11+2500+50</f>
        <v>700</v>
      </c>
      <c r="E54" s="120" t="n">
        <v>0</v>
      </c>
      <c r="F54" s="132" t="n">
        <f aca="false">IF(E54="","",D54-E54)</f>
        <v>700</v>
      </c>
      <c r="G54" s="126" t="s">
        <v>215</v>
      </c>
      <c r="I54" s="102"/>
      <c r="J54" s="141" t="str">
        <f aca="false">IF(I54="","",CHOOSE(WEEKDAY(I54,2),"Mon","Tue","Wed","Thu","Fri","Sat","Sun"))</f>
        <v/>
      </c>
      <c r="K54" s="125" t="n">
        <f aca="false">2650-5200+700-SUM(K55:K57)+25+1900+0</f>
        <v>2450</v>
      </c>
      <c r="L54" s="120" t="n">
        <v>0</v>
      </c>
      <c r="M54" s="132" t="n">
        <f aca="false">IF(L54="","",K54-L54)</f>
        <v>2450</v>
      </c>
      <c r="N54" s="126" t="s">
        <v>215</v>
      </c>
      <c r="P54" s="102"/>
      <c r="Q54" s="141" t="str">
        <f aca="false">IF(P54="","",CHOOSE(WEEKDAY(P54,2),"Mon","Tue","Wed","Thu","Fri","Sat","Sun"))</f>
        <v/>
      </c>
      <c r="R54" s="125" t="n">
        <f aca="false">2650-4600+2450-SUM(R55:R57)+48+1400+0</f>
        <v>550</v>
      </c>
      <c r="S54" s="120" t="n">
        <v>0</v>
      </c>
      <c r="T54" s="132" t="n">
        <f aca="false">IF(S54="","",R54-S54)</f>
        <v>550</v>
      </c>
      <c r="U54" s="126" t="s">
        <v>215</v>
      </c>
      <c r="W54" s="102"/>
      <c r="X54" s="141" t="str">
        <f aca="false">IF(W54="","",CHOOSE(WEEKDAY(W54,2),"Mon","Tue","Wed","Thu","Fri","Sat","Sun"))</f>
        <v/>
      </c>
      <c r="Y54" s="125" t="n">
        <f aca="false">2600-4600+550-SUM(Y55:Y57)-18+1900+50</f>
        <v>250</v>
      </c>
      <c r="Z54" s="120" t="n">
        <v>0</v>
      </c>
      <c r="AA54" s="132" t="n">
        <f aca="false">IF(Z54="","",Y54-Z54)</f>
        <v>250</v>
      </c>
      <c r="AB54" s="126" t="s">
        <v>215</v>
      </c>
      <c r="AD54" s="102"/>
      <c r="AE54" s="141" t="str">
        <f aca="false">IF(AD54="","",CHOOSE(WEEKDAY(AD54,2),"Mon","Tue","Wed","Thu","Fri","Sat","Sun"))</f>
        <v/>
      </c>
      <c r="AF54" s="127" t="n">
        <f aca="false">2600-4600+4600+19479-SUM(AF55:AF57)-4850-14+300+50</f>
        <v>2000</v>
      </c>
      <c r="AG54" s="110"/>
      <c r="AH54" s="132" t="str">
        <f aca="false">IF(AG54="","",AF54-AG54)</f>
        <v/>
      </c>
      <c r="AI54" s="142" t="s">
        <v>215</v>
      </c>
      <c r="AK54" s="102"/>
      <c r="AL54" s="141" t="str">
        <f aca="false">IF(AK54="","",CHOOSE(WEEKDAY(AK54,2),"Mon","Tue","Wed","Thu","Fri","Sat","Sun"))</f>
        <v/>
      </c>
      <c r="AM54" s="127" t="n">
        <f aca="false">2600-4600+0+0-SUM(AM55:AM57)</f>
        <v>-2000</v>
      </c>
      <c r="AN54" s="110"/>
      <c r="AO54" s="132" t="str">
        <f aca="false">IF(AN54="","",AM54-AN54)</f>
        <v/>
      </c>
      <c r="AP54" s="142" t="s">
        <v>215</v>
      </c>
      <c r="AR54" s="102"/>
      <c r="AS54" s="141" t="str">
        <f aca="false">IF(AR54="","",CHOOSE(WEEKDAY(AR54,2),"Mon","Tue","Wed","Thu","Fri","Sat","Sun"))</f>
        <v/>
      </c>
      <c r="AT54" s="127" t="n">
        <f aca="false">2600-4600+0+0-SUM(AT55:AT57)</f>
        <v>-2000</v>
      </c>
      <c r="AU54" s="110"/>
      <c r="AV54" s="132" t="str">
        <f aca="false">IF(AU54="","",AT54-AU54)</f>
        <v/>
      </c>
      <c r="AW54" s="142" t="s">
        <v>215</v>
      </c>
    </row>
    <row r="55" customFormat="false" ht="21" hidden="false" customHeight="true" outlineLevel="0" collapsed="false">
      <c r="B55" s="102"/>
      <c r="C55" s="141" t="str">
        <f aca="false">IF(B55="","",CHOOSE(WEEKDAY(B55,2),"Mon","Tue","Wed","Thu","Fri","Sat","Sun"))</f>
        <v/>
      </c>
      <c r="D55" s="143" t="n">
        <v>0</v>
      </c>
      <c r="E55" s="120" t="n">
        <f aca="false">D55</f>
        <v>0</v>
      </c>
      <c r="F55" s="120" t="n">
        <f aca="false">IF(E55="","",D55-E55)</f>
        <v>0</v>
      </c>
      <c r="G55" s="123" t="s">
        <v>216</v>
      </c>
      <c r="I55" s="102"/>
      <c r="J55" s="141" t="str">
        <f aca="false">IF(I55="","",CHOOSE(WEEKDAY(I55,2),"Mon","Tue","Wed","Thu","Fri","Sat","Sun"))</f>
        <v/>
      </c>
      <c r="K55" s="143" t="n">
        <f aca="false">700</f>
        <v>700</v>
      </c>
      <c r="L55" s="120" t="n">
        <f aca="false">K55</f>
        <v>700</v>
      </c>
      <c r="M55" s="120" t="n">
        <f aca="false">IF(L55="","",K55-L55)</f>
        <v>0</v>
      </c>
      <c r="N55" s="123" t="s">
        <v>216</v>
      </c>
      <c r="P55" s="102"/>
      <c r="Q55" s="141" t="str">
        <f aca="false">IF(P55="","",CHOOSE(WEEKDAY(P55,2),"Mon","Tue","Wed","Thu","Fri","Sat","Sun"))</f>
        <v/>
      </c>
      <c r="R55" s="143" t="n">
        <f aca="false">641</f>
        <v>641</v>
      </c>
      <c r="S55" s="120" t="n">
        <f aca="false">R55</f>
        <v>641</v>
      </c>
      <c r="T55" s="120" t="n">
        <f aca="false">IF(S55="","",R55-S55)</f>
        <v>0</v>
      </c>
      <c r="U55" s="123" t="s">
        <v>216</v>
      </c>
      <c r="W55" s="102"/>
      <c r="X55" s="141" t="str">
        <f aca="false">IF(W55="","",CHOOSE(WEEKDAY(W55,2),"Mon","Tue","Wed","Thu","Fri","Sat","Sun"))</f>
        <v/>
      </c>
      <c r="Y55" s="143" t="n">
        <f aca="false">690</f>
        <v>690</v>
      </c>
      <c r="Z55" s="120" t="n">
        <f aca="false">Y55</f>
        <v>690</v>
      </c>
      <c r="AA55" s="120" t="n">
        <f aca="false">IF(Z55="","",Y55-Z55)</f>
        <v>0</v>
      </c>
      <c r="AB55" s="123" t="s">
        <v>216</v>
      </c>
      <c r="AD55" s="102"/>
      <c r="AE55" s="141" t="str">
        <f aca="false">IF(AD55="","",CHOOSE(WEEKDAY(AD55,2),"Mon","Tue","Wed","Thu","Fri","Sat","Sun"))</f>
        <v/>
      </c>
      <c r="AF55" s="144"/>
      <c r="AG55" s="120" t="n">
        <f aca="false">AF55</f>
        <v>0</v>
      </c>
      <c r="AH55" s="145" t="n">
        <f aca="false">IF(AG55="","",AF55-AG55)</f>
        <v>0</v>
      </c>
      <c r="AI55" s="146" t="s">
        <v>216</v>
      </c>
      <c r="AK55" s="102"/>
      <c r="AL55" s="141" t="str">
        <f aca="false">IF(AK55="","",CHOOSE(WEEKDAY(AK55,2),"Mon","Tue","Wed","Thu","Fri","Sat","Sun"))</f>
        <v/>
      </c>
      <c r="AM55" s="144"/>
      <c r="AN55" s="120" t="n">
        <f aca="false">AM55</f>
        <v>0</v>
      </c>
      <c r="AO55" s="145" t="n">
        <f aca="false">IF(AN55="","",AM55-AN55)</f>
        <v>0</v>
      </c>
      <c r="AP55" s="146" t="s">
        <v>216</v>
      </c>
      <c r="AR55" s="102"/>
      <c r="AS55" s="141" t="str">
        <f aca="false">IF(AR55="","",CHOOSE(WEEKDAY(AR55,2),"Mon","Tue","Wed","Thu","Fri","Sat","Sun"))</f>
        <v/>
      </c>
      <c r="AT55" s="144"/>
      <c r="AU55" s="120" t="n">
        <f aca="false">AT55</f>
        <v>0</v>
      </c>
      <c r="AV55" s="145" t="n">
        <f aca="false">IF(AU55="","",AT55-AU55)</f>
        <v>0</v>
      </c>
      <c r="AW55" s="146" t="s">
        <v>216</v>
      </c>
    </row>
    <row r="56" customFormat="false" ht="21" hidden="false" customHeight="true" outlineLevel="0" collapsed="false">
      <c r="B56" s="102"/>
      <c r="C56" s="141" t="str">
        <f aca="false">IF(B56="","",CHOOSE(WEEKDAY(B56,2),"Mon","Tue","Wed","Thu","Fri","Sat","Sun"))</f>
        <v/>
      </c>
      <c r="D56" s="143"/>
      <c r="E56" s="135"/>
      <c r="F56" s="120" t="str">
        <f aca="false">IF(E56="","",D56-E56)</f>
        <v/>
      </c>
      <c r="G56" s="123" t="s">
        <v>217</v>
      </c>
      <c r="I56" s="102"/>
      <c r="J56" s="141" t="str">
        <f aca="false">IF(I56="","",CHOOSE(WEEKDAY(I56,2),"Mon","Tue","Wed","Thu","Fri","Sat","Sun"))</f>
        <v/>
      </c>
      <c r="K56" s="143"/>
      <c r="L56" s="135" t="n">
        <f aca="false">K56</f>
        <v>0</v>
      </c>
      <c r="M56" s="120" t="n">
        <f aca="false">IF(L56="","",K56-L56)</f>
        <v>0</v>
      </c>
      <c r="N56" s="123" t="s">
        <v>217</v>
      </c>
      <c r="P56" s="102"/>
      <c r="Q56" s="141" t="str">
        <f aca="false">IF(P56="","",CHOOSE(WEEKDAY(P56,2),"Mon","Tue","Wed","Thu","Fri","Sat","Sun"))</f>
        <v/>
      </c>
      <c r="R56" s="143"/>
      <c r="S56" s="135" t="n">
        <f aca="false">R56</f>
        <v>0</v>
      </c>
      <c r="T56" s="120" t="n">
        <f aca="false">IF(S56="","",R56-S56)</f>
        <v>0</v>
      </c>
      <c r="U56" s="123" t="s">
        <v>217</v>
      </c>
      <c r="W56" s="102"/>
      <c r="X56" s="141" t="str">
        <f aca="false">IF(W56="","",CHOOSE(WEEKDAY(W56,2),"Mon","Tue","Wed","Thu","Fri","Sat","Sun"))</f>
        <v/>
      </c>
      <c r="Y56" s="143"/>
      <c r="Z56" s="135" t="n">
        <f aca="false">Y56</f>
        <v>0</v>
      </c>
      <c r="AA56" s="120" t="n">
        <f aca="false">IF(Z56="","",Y56-Z56)</f>
        <v>0</v>
      </c>
      <c r="AB56" s="123" t="s">
        <v>217</v>
      </c>
      <c r="AD56" s="102"/>
      <c r="AE56" s="141" t="str">
        <f aca="false">IF(AD56="","",CHOOSE(WEEKDAY(AD56,2),"Mon","Tue","Wed","Thu","Fri","Sat","Sun"))</f>
        <v/>
      </c>
      <c r="AF56" s="143" t="n">
        <f aca="false">-1400</f>
        <v>-1400</v>
      </c>
      <c r="AG56" s="135"/>
      <c r="AH56" s="120" t="str">
        <f aca="false">IF(AG56="","",AF56-AG56)</f>
        <v/>
      </c>
      <c r="AI56" s="123" t="s">
        <v>217</v>
      </c>
      <c r="AK56" s="102"/>
      <c r="AL56" s="141" t="str">
        <f aca="false">IF(AK56="","",CHOOSE(WEEKDAY(AK56,2),"Mon","Tue","Wed","Thu","Fri","Sat","Sun"))</f>
        <v/>
      </c>
      <c r="AM56" s="147"/>
      <c r="AN56" s="135" t="n">
        <f aca="false">AM56</f>
        <v>0</v>
      </c>
      <c r="AO56" s="110" t="n">
        <f aca="false">IF(AN56="","",AM56-AN56)</f>
        <v>0</v>
      </c>
      <c r="AP56" s="124" t="s">
        <v>217</v>
      </c>
      <c r="AR56" s="102"/>
      <c r="AS56" s="141" t="str">
        <f aca="false">IF(AR56="","",CHOOSE(WEEKDAY(AR56,2),"Mon","Tue","Wed","Thu","Fri","Sat","Sun"))</f>
        <v/>
      </c>
      <c r="AT56" s="147"/>
      <c r="AU56" s="135" t="n">
        <f aca="false">AT56</f>
        <v>0</v>
      </c>
      <c r="AV56" s="110" t="n">
        <f aca="false">IF(AU56="","",AT56-AU56)</f>
        <v>0</v>
      </c>
      <c r="AW56" s="124" t="s">
        <v>217</v>
      </c>
    </row>
    <row r="57" customFormat="false" ht="21" hidden="false" customHeight="true" outlineLevel="0" collapsed="false">
      <c r="B57" s="102"/>
      <c r="C57" s="141" t="str">
        <f aca="false">IF(B57="","",CHOOSE(WEEKDAY(B57,2),"Mon","Tue","Wed","Thu","Fri","Sat","Sun"))</f>
        <v/>
      </c>
      <c r="D57" s="143" t="n">
        <f aca="false">1350+204-65</f>
        <v>1489</v>
      </c>
      <c r="E57" s="135" t="n">
        <f aca="false">D57</f>
        <v>1489</v>
      </c>
      <c r="F57" s="120" t="n">
        <f aca="false">IF(E57="","",D57-E57)</f>
        <v>0</v>
      </c>
      <c r="G57" s="123" t="s">
        <v>218</v>
      </c>
      <c r="I57" s="102"/>
      <c r="J57" s="141" t="str">
        <f aca="false">IF(I57="","",CHOOSE(WEEKDAY(I57,2),"Mon","Tue","Wed","Thu","Fri","Sat","Sun"))</f>
        <v/>
      </c>
      <c r="K57" s="143" t="n">
        <f aca="false">-2003+1150-100+13-100+33-65-2003</f>
        <v>-3075</v>
      </c>
      <c r="L57" s="135" t="n">
        <f aca="false">K57</f>
        <v>-3075</v>
      </c>
      <c r="M57" s="120" t="n">
        <f aca="false">IF(L57="","",K57-L57)</f>
        <v>0</v>
      </c>
      <c r="N57" s="123" t="s">
        <v>218</v>
      </c>
      <c r="P57" s="102"/>
      <c r="Q57" s="141" t="str">
        <f aca="false">IF(P57="","",CHOOSE(WEEKDAY(P57,2),"Mon","Tue","Wed","Thu","Fri","Sat","Sun"))</f>
        <v/>
      </c>
      <c r="R57" s="143" t="n">
        <f aca="false">1850-135-92-17-88-18-40+40-154-90-1500+1001</f>
        <v>757</v>
      </c>
      <c r="S57" s="135" t="n">
        <f aca="false">R57</f>
        <v>757</v>
      </c>
      <c r="T57" s="120" t="n">
        <f aca="false">IF(S57="","",R57-S57)</f>
        <v>0</v>
      </c>
      <c r="U57" s="123" t="s">
        <v>218</v>
      </c>
      <c r="W57" s="102"/>
      <c r="X57" s="141" t="str">
        <f aca="false">IF(W57="","",CHOOSE(WEEKDAY(W57,2),"Mon","Tue","Wed","Thu","Fri","Sat","Sun"))</f>
        <v/>
      </c>
      <c r="Y57" s="143" t="n">
        <f aca="false">-503-95-54+194</f>
        <v>-458</v>
      </c>
      <c r="Z57" s="135" t="n">
        <f aca="false">Y57</f>
        <v>-458</v>
      </c>
      <c r="AA57" s="120" t="n">
        <f aca="false">IF(Z57="","",Y57-Z57)</f>
        <v>0</v>
      </c>
      <c r="AB57" s="123" t="s">
        <v>218</v>
      </c>
      <c r="AD57" s="102"/>
      <c r="AE57" s="141" t="str">
        <f aca="false">IF(AD57="","",CHOOSE(WEEKDAY(AD57,2),"Mon","Tue","Wed","Thu","Fri","Sat","Sun"))</f>
        <v/>
      </c>
      <c r="AF57" s="148" t="n">
        <f aca="false">-100-100-110-82-25-100+19482-2000</f>
        <v>16965</v>
      </c>
      <c r="AG57" s="135" t="n">
        <f aca="false">AF57</f>
        <v>16965</v>
      </c>
      <c r="AH57" s="149" t="n">
        <f aca="false">IF(AG57="","",AF57-AG57)</f>
        <v>0</v>
      </c>
      <c r="AI57" s="150" t="s">
        <v>218</v>
      </c>
      <c r="AK57" s="102"/>
      <c r="AL57" s="141" t="str">
        <f aca="false">IF(AK57="","",CHOOSE(WEEKDAY(AK57,2),"Mon","Tue","Wed","Thu","Fri","Sat","Sun"))</f>
        <v/>
      </c>
      <c r="AM57" s="148"/>
      <c r="AN57" s="135" t="n">
        <f aca="false">AM57</f>
        <v>0</v>
      </c>
      <c r="AO57" s="149" t="n">
        <f aca="false">IF(AN57="","",AM57-AN57)</f>
        <v>0</v>
      </c>
      <c r="AP57" s="150" t="s">
        <v>218</v>
      </c>
      <c r="AR57" s="102"/>
      <c r="AS57" s="141" t="str">
        <f aca="false">IF(AR57="","",CHOOSE(WEEKDAY(AR57,2),"Mon","Tue","Wed","Thu","Fri","Sat","Sun"))</f>
        <v/>
      </c>
      <c r="AT57" s="148"/>
      <c r="AU57" s="135" t="n">
        <f aca="false">AT57</f>
        <v>0</v>
      </c>
      <c r="AV57" s="149" t="n">
        <f aca="false">IF(AU57="","",AT57-AU57)</f>
        <v>0</v>
      </c>
      <c r="AW57" s="150" t="s">
        <v>218</v>
      </c>
    </row>
    <row r="58" customFormat="false" ht="21" hidden="false" customHeight="true" outlineLevel="0" collapsed="false">
      <c r="B58" s="102"/>
      <c r="C58" s="141" t="str">
        <f aca="false">IF(B58="","",CHOOSE(WEEKDAY(B58,2),"Mon","Tue","Wed","Thu","Fri","Sat","Sun"))</f>
        <v/>
      </c>
      <c r="D58" s="151" t="n">
        <f aca="false">0-SUM(D59:D59)</f>
        <v>0</v>
      </c>
      <c r="E58" s="120"/>
      <c r="F58" s="132" t="str">
        <f aca="false">IF(E58="","",D58-E58)</f>
        <v/>
      </c>
      <c r="G58" s="126" t="s">
        <v>219</v>
      </c>
      <c r="I58" s="102"/>
      <c r="J58" s="141" t="str">
        <f aca="false">IF(I58="","",CHOOSE(WEEKDAY(I58,2),"Mon","Tue","Wed","Thu","Fri","Sat","Sun"))</f>
        <v/>
      </c>
      <c r="K58" s="151" t="n">
        <f aca="false">0-SUM(K59:K59)</f>
        <v>0</v>
      </c>
      <c r="L58" s="120"/>
      <c r="M58" s="132" t="str">
        <f aca="false">IF(L58="","",K58-L58)</f>
        <v/>
      </c>
      <c r="N58" s="126" t="s">
        <v>219</v>
      </c>
      <c r="P58" s="102"/>
      <c r="Q58" s="141" t="str">
        <f aca="false">IF(P58="","",CHOOSE(WEEKDAY(P58,2),"Mon","Tue","Wed","Thu","Fri","Sat","Sun"))</f>
        <v/>
      </c>
      <c r="R58" s="151" t="n">
        <f aca="false">0-SUM(R59:R59)</f>
        <v>0</v>
      </c>
      <c r="S58" s="120"/>
      <c r="T58" s="132" t="str">
        <f aca="false">IF(S58="","",R58-S58)</f>
        <v/>
      </c>
      <c r="U58" s="126" t="s">
        <v>219</v>
      </c>
      <c r="W58" s="102"/>
      <c r="X58" s="141" t="str">
        <f aca="false">IF(W58="","",CHOOSE(WEEKDAY(W58,2),"Mon","Tue","Wed","Thu","Fri","Sat","Sun"))</f>
        <v/>
      </c>
      <c r="Y58" s="151" t="n">
        <f aca="false">0-SUM(Y59:Y59)</f>
        <v>0</v>
      </c>
      <c r="Z58" s="120"/>
      <c r="AA58" s="132" t="str">
        <f aca="false">IF(Z58="","",Y58-Z58)</f>
        <v/>
      </c>
      <c r="AB58" s="126" t="s">
        <v>219</v>
      </c>
      <c r="AD58" s="102"/>
      <c r="AE58" s="141" t="str">
        <f aca="false">IF(AD58="","",CHOOSE(WEEKDAY(AD58,2),"Mon","Tue","Wed","Thu","Fri","Sat","Sun"))</f>
        <v/>
      </c>
      <c r="AF58" s="151" t="n">
        <f aca="false">0-SUM(AF59:AF59)</f>
        <v>0</v>
      </c>
      <c r="AG58" s="120"/>
      <c r="AH58" s="132" t="str">
        <f aca="false">IF(AG58="","",AF58-AG58)</f>
        <v/>
      </c>
      <c r="AI58" s="126" t="s">
        <v>219</v>
      </c>
      <c r="AK58" s="102"/>
      <c r="AL58" s="141" t="str">
        <f aca="false">IF(AK58="","",CHOOSE(WEEKDAY(AK58,2),"Mon","Tue","Wed","Thu","Fri","Sat","Sun"))</f>
        <v/>
      </c>
      <c r="AM58" s="151" t="n">
        <f aca="false">0-SUM(AM59:AM59)</f>
        <v>0</v>
      </c>
      <c r="AN58" s="120"/>
      <c r="AO58" s="132" t="str">
        <f aca="false">IF(AN58="","",AM58-AN58)</f>
        <v/>
      </c>
      <c r="AP58" s="126" t="s">
        <v>219</v>
      </c>
      <c r="AR58" s="102"/>
      <c r="AS58" s="141" t="str">
        <f aca="false">IF(AR58="","",CHOOSE(WEEKDAY(AR58,2),"Mon","Tue","Wed","Thu","Fri","Sat","Sun"))</f>
        <v/>
      </c>
      <c r="AT58" s="151" t="n">
        <f aca="false">0-SUM(AT59:AT59)</f>
        <v>0</v>
      </c>
      <c r="AU58" s="120"/>
      <c r="AV58" s="132" t="str">
        <f aca="false">IF(AU58="","",AT58-AU58)</f>
        <v/>
      </c>
      <c r="AW58" s="126" t="s">
        <v>219</v>
      </c>
    </row>
    <row r="59" customFormat="false" ht="21" hidden="false" customHeight="true" outlineLevel="0" collapsed="false">
      <c r="A59" s="152"/>
      <c r="B59" s="102"/>
      <c r="C59" s="141" t="str">
        <f aca="false">IF(B59="","",CHOOSE(WEEKDAY(B59,2),"Mon","Tue","Wed","Thu","Fri","Sat","Sun"))</f>
        <v/>
      </c>
      <c r="D59" s="131"/>
      <c r="E59" s="135" t="n">
        <f aca="false">D59</f>
        <v>0</v>
      </c>
      <c r="F59" s="120" t="n">
        <f aca="false">IF(E59="","",D59-E59)</f>
        <v>0</v>
      </c>
      <c r="G59" s="123" t="s">
        <v>220</v>
      </c>
      <c r="H59" s="152"/>
      <c r="I59" s="102"/>
      <c r="J59" s="141" t="str">
        <f aca="false">IF(I59="","",CHOOSE(WEEKDAY(I59,2),"Mon","Tue","Wed","Thu","Fri","Sat","Sun"))</f>
        <v/>
      </c>
      <c r="K59" s="131"/>
      <c r="L59" s="135" t="n">
        <f aca="false">K59</f>
        <v>0</v>
      </c>
      <c r="M59" s="120" t="n">
        <f aca="false">IF(L59="","",K59-L59)</f>
        <v>0</v>
      </c>
      <c r="N59" s="123" t="s">
        <v>220</v>
      </c>
      <c r="O59" s="152"/>
      <c r="P59" s="102"/>
      <c r="Q59" s="141" t="str">
        <f aca="false">IF(P59="","",CHOOSE(WEEKDAY(P59,2),"Mon","Tue","Wed","Thu","Fri","Sat","Sun"))</f>
        <v/>
      </c>
      <c r="R59" s="131"/>
      <c r="S59" s="135" t="n">
        <f aca="false">R59</f>
        <v>0</v>
      </c>
      <c r="T59" s="120" t="n">
        <f aca="false">IF(S59="","",R59-S59)</f>
        <v>0</v>
      </c>
      <c r="U59" s="123" t="s">
        <v>220</v>
      </c>
      <c r="V59" s="152"/>
      <c r="W59" s="102"/>
      <c r="X59" s="141" t="str">
        <f aca="false">IF(W59="","",CHOOSE(WEEKDAY(W59,2),"Mon","Tue","Wed","Thu","Fri","Sat","Sun"))</f>
        <v/>
      </c>
      <c r="Y59" s="131"/>
      <c r="Z59" s="135" t="n">
        <f aca="false">Y59</f>
        <v>0</v>
      </c>
      <c r="AA59" s="120" t="n">
        <f aca="false">IF(Z59="","",Y59-Z59)</f>
        <v>0</v>
      </c>
      <c r="AB59" s="123" t="s">
        <v>220</v>
      </c>
      <c r="AC59" s="152"/>
      <c r="AD59" s="102"/>
      <c r="AE59" s="141" t="str">
        <f aca="false">IF(AD59="","",CHOOSE(WEEKDAY(AD59,2),"Mon","Tue","Wed","Thu","Fri","Sat","Sun"))</f>
        <v/>
      </c>
      <c r="AF59" s="131"/>
      <c r="AG59" s="135" t="n">
        <f aca="false">AF59</f>
        <v>0</v>
      </c>
      <c r="AH59" s="120" t="n">
        <f aca="false">IF(AG59="","",AF59-AG59)</f>
        <v>0</v>
      </c>
      <c r="AI59" s="123" t="s">
        <v>220</v>
      </c>
      <c r="AJ59" s="152"/>
      <c r="AK59" s="102"/>
      <c r="AL59" s="141" t="str">
        <f aca="false">IF(AK59="","",CHOOSE(WEEKDAY(AK59,2),"Mon","Tue","Wed","Thu","Fri","Sat","Sun"))</f>
        <v/>
      </c>
      <c r="AM59" s="131"/>
      <c r="AN59" s="135" t="n">
        <f aca="false">AM59</f>
        <v>0</v>
      </c>
      <c r="AO59" s="120" t="n">
        <f aca="false">IF(AN59="","",AM59-AN59)</f>
        <v>0</v>
      </c>
      <c r="AP59" s="123" t="s">
        <v>220</v>
      </c>
      <c r="AQ59" s="152"/>
      <c r="AR59" s="102"/>
      <c r="AS59" s="141" t="str">
        <f aca="false">IF(AR59="","",CHOOSE(WEEKDAY(AR59,2),"Mon","Tue","Wed","Thu","Fri","Sat","Sun"))</f>
        <v/>
      </c>
      <c r="AT59" s="131"/>
      <c r="AU59" s="135" t="n">
        <f aca="false">AT59</f>
        <v>0</v>
      </c>
      <c r="AV59" s="120" t="n">
        <f aca="false">IF(AU59="","",AT59-AU59)</f>
        <v>0</v>
      </c>
      <c r="AW59" s="123" t="s">
        <v>220</v>
      </c>
    </row>
    <row r="60" customFormat="false" ht="21" hidden="false" customHeight="true" outlineLevel="0" collapsed="false">
      <c r="B60" s="102" t="n">
        <f aca="false">DATE(YEAR(B4),MONTH(B4),25)</f>
        <v>45041</v>
      </c>
      <c r="C60" s="103" t="str">
        <f aca="false">IF(B60="","",CHOOSE(WEEKDAY(B60,2),"Mon","Tue","Wed","Thu","Fri","Sat","Sun"))</f>
        <v>Tue</v>
      </c>
      <c r="D60" s="153" t="n">
        <v>150</v>
      </c>
      <c r="E60" s="120" t="n">
        <v>150</v>
      </c>
      <c r="F60" s="120" t="n">
        <f aca="false">IF(E60="","",D60-E60)</f>
        <v>0</v>
      </c>
      <c r="G60" s="123" t="s">
        <v>221</v>
      </c>
      <c r="I60" s="102" t="n">
        <f aca="false">DATE(YEAR(I4),MONTH(I4),25)</f>
        <v>45071</v>
      </c>
      <c r="J60" s="103" t="str">
        <f aca="false">IF(I60="","",CHOOSE(WEEKDAY(I60,2),"Mon","Tue","Wed","Thu","Fri","Sat","Sun"))</f>
        <v>Thu</v>
      </c>
      <c r="K60" s="153" t="n">
        <v>150</v>
      </c>
      <c r="L60" s="120" t="n">
        <v>150</v>
      </c>
      <c r="M60" s="120" t="n">
        <f aca="false">IF(L60="","",K60-L60)</f>
        <v>0</v>
      </c>
      <c r="N60" s="123" t="s">
        <v>221</v>
      </c>
      <c r="P60" s="102" t="n">
        <f aca="false">DATE(YEAR(P4),MONTH(P4),25)</f>
        <v>45102</v>
      </c>
      <c r="Q60" s="103" t="str">
        <f aca="false">IF(P60="","",CHOOSE(WEEKDAY(P60,2),"Mon","Tue","Wed","Thu","Fri","Sat","Sun"))</f>
        <v>Sun</v>
      </c>
      <c r="R60" s="153" t="n">
        <v>150</v>
      </c>
      <c r="S60" s="120" t="n">
        <v>150</v>
      </c>
      <c r="T60" s="120" t="n">
        <f aca="false">IF(S60="","",R60-S60)</f>
        <v>0</v>
      </c>
      <c r="U60" s="123" t="s">
        <v>221</v>
      </c>
      <c r="W60" s="102" t="n">
        <f aca="false">DATE(YEAR(W4),MONTH(W4),25)</f>
        <v>45132</v>
      </c>
      <c r="X60" s="103" t="str">
        <f aca="false">IF(W60="","",CHOOSE(WEEKDAY(W60,2),"Mon","Tue","Wed","Thu","Fri","Sat","Sun"))</f>
        <v>Tue</v>
      </c>
      <c r="Y60" s="153" t="n">
        <v>150</v>
      </c>
      <c r="Z60" s="120" t="n">
        <v>150</v>
      </c>
      <c r="AA60" s="120" t="n">
        <f aca="false">IF(Z60="","",Y60-Z60)</f>
        <v>0</v>
      </c>
      <c r="AB60" s="123" t="s">
        <v>221</v>
      </c>
      <c r="AD60" s="102" t="n">
        <f aca="false">DATE(YEAR(AD4),MONTH(AD4),25)</f>
        <v>45163</v>
      </c>
      <c r="AE60" s="103" t="str">
        <f aca="false">IF(AD60="","",CHOOSE(WEEKDAY(AD60,2),"Mon","Tue","Wed","Thu","Fri","Sat","Sun"))</f>
        <v>Fri</v>
      </c>
      <c r="AF60" s="154" t="n">
        <v>150</v>
      </c>
      <c r="AG60" s="155"/>
      <c r="AH60" s="155" t="str">
        <f aca="false">IF(AG60="","",AF60-AG60)</f>
        <v/>
      </c>
      <c r="AI60" s="156" t="s">
        <v>221</v>
      </c>
      <c r="AK60" s="102" t="n">
        <f aca="false">DATE(YEAR(AK4),MONTH(AK4),25)</f>
        <v>45194</v>
      </c>
      <c r="AL60" s="103" t="str">
        <f aca="false">IF(AK60="","",CHOOSE(WEEKDAY(AK60,2),"Mon","Tue","Wed","Thu","Fri","Sat","Sun"))</f>
        <v>Mon</v>
      </c>
      <c r="AM60" s="154" t="n">
        <v>150</v>
      </c>
      <c r="AN60" s="155"/>
      <c r="AO60" s="155" t="str">
        <f aca="false">IF(AN60="","",AM60-AN60)</f>
        <v/>
      </c>
      <c r="AP60" s="156" t="s">
        <v>221</v>
      </c>
      <c r="AR60" s="102" t="n">
        <f aca="false">DATE(YEAR(AR4),MONTH(AR4),25)</f>
        <v>45224</v>
      </c>
      <c r="AS60" s="103" t="str">
        <f aca="false">IF(AR60="","",CHOOSE(WEEKDAY(AR60,2),"Mon","Tue","Wed","Thu","Fri","Sat","Sun"))</f>
        <v>Wed</v>
      </c>
      <c r="AT60" s="154" t="n">
        <v>150</v>
      </c>
      <c r="AU60" s="155"/>
      <c r="AV60" s="155" t="str">
        <f aca="false">IF(AU60="","",AT60-AU60)</f>
        <v/>
      </c>
      <c r="AW60" s="156" t="s">
        <v>221</v>
      </c>
    </row>
    <row r="61" customFormat="false" ht="21" hidden="false" customHeight="true" outlineLevel="0" collapsed="false">
      <c r="B61" s="102"/>
      <c r="C61" s="103" t="str">
        <f aca="false">IF(B61="","",CHOOSE(WEEKDAY(B61,2),"Mon","Tue","Wed","Thu","Fri","Sat","Sun"))</f>
        <v/>
      </c>
      <c r="D61" s="135" t="n">
        <v>500</v>
      </c>
      <c r="E61" s="120" t="n">
        <v>0</v>
      </c>
      <c r="F61" s="120" t="n">
        <f aca="false">IF(E61="","",D61-E61)</f>
        <v>500</v>
      </c>
      <c r="G61" s="157" t="s">
        <v>222</v>
      </c>
      <c r="I61" s="102"/>
      <c r="J61" s="103" t="str">
        <f aca="false">IF(I61="","",CHOOSE(WEEKDAY(I61,2),"Mon","Tue","Wed","Thu","Fri","Sat","Sun"))</f>
        <v/>
      </c>
      <c r="K61" s="135" t="n">
        <v>500</v>
      </c>
      <c r="L61" s="120" t="n">
        <v>0</v>
      </c>
      <c r="M61" s="120" t="n">
        <f aca="false">IF(L61="","",K61-L61)</f>
        <v>500</v>
      </c>
      <c r="N61" s="157" t="s">
        <v>222</v>
      </c>
      <c r="P61" s="102"/>
      <c r="Q61" s="103" t="str">
        <f aca="false">IF(P61="","",CHOOSE(WEEKDAY(P61,2),"Mon","Tue","Wed","Thu","Fri","Sat","Sun"))</f>
        <v/>
      </c>
      <c r="R61" s="135"/>
      <c r="S61" s="120"/>
      <c r="T61" s="120"/>
      <c r="U61" s="157" t="s">
        <v>223</v>
      </c>
      <c r="W61" s="102"/>
      <c r="X61" s="103" t="str">
        <f aca="false">IF(W61="","",CHOOSE(WEEKDAY(W61,2),"Mon","Tue","Wed","Thu","Fri","Sat","Sun"))</f>
        <v/>
      </c>
      <c r="Y61" s="135"/>
      <c r="Z61" s="120"/>
      <c r="AA61" s="120"/>
      <c r="AB61" s="157" t="s">
        <v>223</v>
      </c>
      <c r="AD61" s="102" t="n">
        <f aca="false">DATE(YEAR(AD5),MONTH(AD5),15)</f>
        <v>45153</v>
      </c>
      <c r="AE61" s="103" t="str">
        <f aca="false">IF(AD61="","",CHOOSE(WEEKDAY(AD61,2),"Mon","Tue","Wed","Thu","Fri","Sat","Sun"))</f>
        <v>Tue</v>
      </c>
      <c r="AF61" s="154" t="n">
        <v>500</v>
      </c>
      <c r="AG61" s="155"/>
      <c r="AH61" s="155"/>
      <c r="AI61" s="156" t="s">
        <v>224</v>
      </c>
      <c r="AK61" s="102" t="n">
        <f aca="false">DATE(YEAR(AK5),MONTH(AK5),15)</f>
        <v>45184</v>
      </c>
      <c r="AL61" s="103" t="str">
        <f aca="false">IF(AK61="","",CHOOSE(WEEKDAY(AK61,2),"Mon","Tue","Wed","Thu","Fri","Sat","Sun"))</f>
        <v>Fri</v>
      </c>
      <c r="AM61" s="154" t="n">
        <v>500</v>
      </c>
      <c r="AN61" s="155"/>
      <c r="AO61" s="155"/>
      <c r="AP61" s="156" t="s">
        <v>224</v>
      </c>
      <c r="AR61" s="102" t="n">
        <f aca="false">DATE(YEAR(AR5),MONTH(AR5),15)</f>
        <v>45214</v>
      </c>
      <c r="AS61" s="103" t="str">
        <f aca="false">IF(AR61="","",CHOOSE(WEEKDAY(AR61,2),"Mon","Tue","Wed","Thu","Fri","Sat","Sun"))</f>
        <v>Sun</v>
      </c>
      <c r="AT61" s="154" t="n">
        <v>500</v>
      </c>
      <c r="AU61" s="155"/>
      <c r="AV61" s="155"/>
      <c r="AW61" s="156" t="s">
        <v>224</v>
      </c>
    </row>
    <row r="62" customFormat="false" ht="21" hidden="false" customHeight="true" outlineLevel="0" collapsed="false">
      <c r="B62" s="102" t="n">
        <f aca="false">DATE(YEAR(B4),MONTH(B4),28)</f>
        <v>45044</v>
      </c>
      <c r="C62" s="103" t="str">
        <f aca="false">IF(B62="","",CHOOSE(WEEKDAY(B62,2),"Mon","Tue","Wed","Thu","Fri","Sat","Sun"))</f>
        <v>Fri</v>
      </c>
      <c r="D62" s="153" t="n">
        <v>50</v>
      </c>
      <c r="E62" s="120" t="n">
        <v>50</v>
      </c>
      <c r="F62" s="120" t="n">
        <f aca="false">IF(E62="","",D62-E62)</f>
        <v>0</v>
      </c>
      <c r="G62" s="123" t="s">
        <v>225</v>
      </c>
      <c r="I62" s="102" t="n">
        <f aca="false">DATE(YEAR(I4),MONTH(I4),28)</f>
        <v>45074</v>
      </c>
      <c r="J62" s="103" t="str">
        <f aca="false">IF(I62="","",CHOOSE(WEEKDAY(I62,2),"Mon","Tue","Wed","Thu","Fri","Sat","Sun"))</f>
        <v>Sun</v>
      </c>
      <c r="K62" s="153" t="n">
        <v>50</v>
      </c>
      <c r="L62" s="120" t="n">
        <v>50</v>
      </c>
      <c r="M62" s="120" t="n">
        <f aca="false">IF(L62="","",K62-L62)</f>
        <v>0</v>
      </c>
      <c r="N62" s="123" t="s">
        <v>225</v>
      </c>
      <c r="P62" s="102" t="n">
        <f aca="false">DATE(YEAR(P4),MONTH(P4),28)</f>
        <v>45105</v>
      </c>
      <c r="Q62" s="103" t="str">
        <f aca="false">IF(P62="","",CHOOSE(WEEKDAY(P62,2),"Mon","Tue","Wed","Thu","Fri","Sat","Sun"))</f>
        <v>Wed</v>
      </c>
      <c r="R62" s="153" t="n">
        <v>50</v>
      </c>
      <c r="S62" s="120" t="n">
        <v>50</v>
      </c>
      <c r="T62" s="120" t="n">
        <f aca="false">IF(S62="","",R62-S62)</f>
        <v>0</v>
      </c>
      <c r="U62" s="123" t="s">
        <v>225</v>
      </c>
      <c r="W62" s="102" t="n">
        <f aca="false">DATE(YEAR(W4),MONTH(W4),28)</f>
        <v>45135</v>
      </c>
      <c r="X62" s="103" t="str">
        <f aca="false">IF(W62="","",CHOOSE(WEEKDAY(W62,2),"Mon","Tue","Wed","Thu","Fri","Sat","Sun"))</f>
        <v>Fri</v>
      </c>
      <c r="Y62" s="153" t="n">
        <v>50</v>
      </c>
      <c r="Z62" s="120" t="n">
        <v>50</v>
      </c>
      <c r="AA62" s="120" t="n">
        <f aca="false">IF(Z62="","",Y62-Z62)</f>
        <v>0</v>
      </c>
      <c r="AB62" s="123" t="s">
        <v>225</v>
      </c>
      <c r="AD62" s="102" t="n">
        <f aca="false">DATE(YEAR(AD4),MONTH(AD4),28)</f>
        <v>45166</v>
      </c>
      <c r="AE62" s="103" t="str">
        <f aca="false">IF(AD62="","",CHOOSE(WEEKDAY(AD62,2),"Mon","Tue","Wed","Thu","Fri","Sat","Sun"))</f>
        <v>Mon</v>
      </c>
      <c r="AF62" s="154" t="n">
        <v>50</v>
      </c>
      <c r="AG62" s="155"/>
      <c r="AH62" s="155" t="str">
        <f aca="false">IF(AG62="","",AF62-AG62)</f>
        <v/>
      </c>
      <c r="AI62" s="156" t="s">
        <v>225</v>
      </c>
      <c r="AK62" s="102" t="n">
        <f aca="false">DATE(YEAR(AK4),MONTH(AK4),28)</f>
        <v>45197</v>
      </c>
      <c r="AL62" s="103" t="str">
        <f aca="false">IF(AK62="","",CHOOSE(WEEKDAY(AK62,2),"Mon","Tue","Wed","Thu","Fri","Sat","Sun"))</f>
        <v>Thu</v>
      </c>
      <c r="AM62" s="154" t="n">
        <v>50</v>
      </c>
      <c r="AN62" s="155"/>
      <c r="AO62" s="155" t="str">
        <f aca="false">IF(AN62="","",AM62-AN62)</f>
        <v/>
      </c>
      <c r="AP62" s="156" t="s">
        <v>225</v>
      </c>
      <c r="AR62" s="102" t="n">
        <f aca="false">DATE(YEAR(AR4),MONTH(AR4),28)</f>
        <v>45227</v>
      </c>
      <c r="AS62" s="103" t="str">
        <f aca="false">IF(AR62="","",CHOOSE(WEEKDAY(AR62,2),"Mon","Tue","Wed","Thu","Fri","Sat","Sun"))</f>
        <v>Sat</v>
      </c>
      <c r="AT62" s="154" t="n">
        <v>50</v>
      </c>
      <c r="AU62" s="155"/>
      <c r="AV62" s="155" t="str">
        <f aca="false">IF(AU62="","",AT62-AU62)</f>
        <v/>
      </c>
      <c r="AW62" s="156" t="s">
        <v>225</v>
      </c>
    </row>
    <row r="63" customFormat="false" ht="21" hidden="false" customHeight="true" outlineLevel="0" collapsed="false">
      <c r="B63" s="114" t="s">
        <v>199</v>
      </c>
      <c r="C63" s="114"/>
      <c r="D63" s="115" t="n">
        <f aca="false">SUM(D54:D62)</f>
        <v>2889</v>
      </c>
      <c r="E63" s="115" t="n">
        <f aca="false">SUM(E54:E62)</f>
        <v>1689</v>
      </c>
      <c r="F63" s="115" t="n">
        <f aca="false">SUM(F54:F62)</f>
        <v>1200</v>
      </c>
      <c r="G63" s="158"/>
      <c r="I63" s="114" t="s">
        <v>199</v>
      </c>
      <c r="J63" s="114"/>
      <c r="K63" s="115" t="n">
        <f aca="false">SUM(K54:K62)</f>
        <v>775</v>
      </c>
      <c r="L63" s="115" t="n">
        <f aca="false">SUM(L54:L62)</f>
        <v>-2175</v>
      </c>
      <c r="M63" s="115" t="n">
        <f aca="false">SUM(M54:M62)</f>
        <v>2950</v>
      </c>
      <c r="N63" s="158"/>
      <c r="P63" s="114" t="s">
        <v>199</v>
      </c>
      <c r="Q63" s="114"/>
      <c r="R63" s="115" t="n">
        <f aca="false">SUM(R54:R62)</f>
        <v>2148</v>
      </c>
      <c r="S63" s="115" t="n">
        <f aca="false">SUM(S54:S62)</f>
        <v>1598</v>
      </c>
      <c r="T63" s="115" t="n">
        <f aca="false">SUM(T54:T62)</f>
        <v>550</v>
      </c>
      <c r="U63" s="139" t="s">
        <v>226</v>
      </c>
      <c r="W63" s="114" t="s">
        <v>199</v>
      </c>
      <c r="X63" s="114"/>
      <c r="Y63" s="115" t="n">
        <f aca="false">SUM(Y54:Y62)</f>
        <v>682</v>
      </c>
      <c r="Z63" s="115" t="n">
        <f aca="false">SUM(Z54:Z62)</f>
        <v>432</v>
      </c>
      <c r="AA63" s="115" t="n">
        <f aca="false">SUM(AA54:AA62)</f>
        <v>250</v>
      </c>
      <c r="AB63" s="158"/>
      <c r="AD63" s="114" t="s">
        <v>199</v>
      </c>
      <c r="AE63" s="114"/>
      <c r="AF63" s="115" t="n">
        <f aca="false">SUM(AF54:AF62)</f>
        <v>18265</v>
      </c>
      <c r="AG63" s="115" t="n">
        <f aca="false">SUM(AG54:AG62)</f>
        <v>16965</v>
      </c>
      <c r="AH63" s="115" t="n">
        <f aca="false">SUM(AH54:AH62)</f>
        <v>0</v>
      </c>
      <c r="AI63" s="158"/>
      <c r="AK63" s="114" t="s">
        <v>199</v>
      </c>
      <c r="AL63" s="114"/>
      <c r="AM63" s="115" t="n">
        <f aca="false">SUM(AM54:AM62)</f>
        <v>-1300</v>
      </c>
      <c r="AN63" s="115" t="n">
        <f aca="false">SUM(AN54:AN62)</f>
        <v>0</v>
      </c>
      <c r="AO63" s="115" t="n">
        <f aca="false">SUM(AO54:AO62)</f>
        <v>0</v>
      </c>
      <c r="AP63" s="158"/>
      <c r="AR63" s="114" t="s">
        <v>199</v>
      </c>
      <c r="AS63" s="114"/>
      <c r="AT63" s="115" t="n">
        <f aca="false">SUM(AT54:AT62)</f>
        <v>-1300</v>
      </c>
      <c r="AU63" s="115" t="n">
        <f aca="false">SUM(AU54:AU62)</f>
        <v>0</v>
      </c>
      <c r="AV63" s="115" t="n">
        <f aca="false">SUM(AV54:AV62)</f>
        <v>0</v>
      </c>
      <c r="AW63" s="158"/>
    </row>
    <row r="64" customFormat="false" ht="21" hidden="false" customHeight="true" outlineLevel="0" collapsed="false"/>
    <row r="65" customFormat="false" ht="21" hidden="false" customHeight="true" outlineLevel="0" collapsed="false">
      <c r="B65" s="159" t="s">
        <v>227</v>
      </c>
      <c r="C65" s="159"/>
      <c r="D65" s="159"/>
      <c r="E65" s="159"/>
      <c r="F65" s="159"/>
      <c r="G65" s="159"/>
      <c r="I65" s="159" t="s">
        <v>227</v>
      </c>
      <c r="J65" s="159"/>
      <c r="K65" s="159"/>
      <c r="L65" s="159"/>
      <c r="M65" s="159"/>
      <c r="N65" s="159"/>
      <c r="P65" s="159" t="s">
        <v>227</v>
      </c>
      <c r="Q65" s="159"/>
      <c r="R65" s="159"/>
      <c r="S65" s="159"/>
      <c r="T65" s="159"/>
      <c r="U65" s="159"/>
      <c r="W65" s="159" t="s">
        <v>227</v>
      </c>
      <c r="X65" s="159"/>
      <c r="Y65" s="159"/>
      <c r="Z65" s="159"/>
      <c r="AA65" s="159"/>
      <c r="AB65" s="159"/>
      <c r="AD65" s="159" t="s">
        <v>227</v>
      </c>
      <c r="AE65" s="159"/>
      <c r="AF65" s="159"/>
      <c r="AG65" s="159"/>
      <c r="AH65" s="159"/>
      <c r="AI65" s="159"/>
      <c r="AK65" s="159" t="s">
        <v>227</v>
      </c>
      <c r="AL65" s="159"/>
      <c r="AM65" s="159"/>
      <c r="AN65" s="159"/>
      <c r="AO65" s="159"/>
      <c r="AP65" s="159"/>
      <c r="AR65" s="159" t="s">
        <v>227</v>
      </c>
      <c r="AS65" s="159"/>
      <c r="AT65" s="159"/>
      <c r="AU65" s="159"/>
      <c r="AV65" s="159"/>
      <c r="AW65" s="159"/>
    </row>
    <row r="66" customFormat="false" ht="21" hidden="false" customHeight="true" outlineLevel="0" collapsed="false">
      <c r="B66" s="160" t="s">
        <v>228</v>
      </c>
      <c r="C66" s="160"/>
      <c r="D66" s="161" t="n">
        <v>2222.5</v>
      </c>
      <c r="E66" s="162" t="s">
        <v>229</v>
      </c>
      <c r="F66" s="162"/>
      <c r="G66" s="163" t="n">
        <f aca="false">SUM(G67:G69)</f>
        <v>2076.25</v>
      </c>
      <c r="I66" s="160" t="s">
        <v>228</v>
      </c>
      <c r="J66" s="160"/>
      <c r="K66" s="161" t="n">
        <f aca="false">IF(I66="BDG sld ini", D54,G72)</f>
        <v>744.5</v>
      </c>
      <c r="L66" s="162" t="s">
        <v>229</v>
      </c>
      <c r="M66" s="162"/>
      <c r="N66" s="163" t="n">
        <f aca="false">SUM(N67:N69)</f>
        <v>2076.25</v>
      </c>
      <c r="P66" s="160" t="s">
        <v>228</v>
      </c>
      <c r="Q66" s="160"/>
      <c r="R66" s="161" t="n">
        <f aca="false">IF(P66="BDG sld ini", K54,N72)</f>
        <v>2452.5</v>
      </c>
      <c r="S66" s="162" t="s">
        <v>229</v>
      </c>
      <c r="T66" s="162"/>
      <c r="U66" s="163" t="n">
        <f aca="false">SUM(U67:U69)</f>
        <v>2076.25</v>
      </c>
      <c r="W66" s="160" t="s">
        <v>230</v>
      </c>
      <c r="X66" s="160"/>
      <c r="Y66" s="161" t="n">
        <v>553.76</v>
      </c>
      <c r="Z66" s="162" t="s">
        <v>229</v>
      </c>
      <c r="AA66" s="162"/>
      <c r="AB66" s="163" t="n">
        <f aca="false">SUM(AB67:AB69)</f>
        <v>2076.25</v>
      </c>
      <c r="AD66" s="160" t="s">
        <v>228</v>
      </c>
      <c r="AE66" s="160"/>
      <c r="AF66" s="161" t="n">
        <f aca="false">IF(AD66="BDG sld ini", Y54,AB72)</f>
        <v>282.63</v>
      </c>
      <c r="AG66" s="162" t="s">
        <v>229</v>
      </c>
      <c r="AH66" s="162"/>
      <c r="AI66" s="163" t="n">
        <f aca="false">SUM(AI67:AI69)</f>
        <v>2076.25</v>
      </c>
      <c r="AK66" s="160" t="s">
        <v>228</v>
      </c>
      <c r="AL66" s="160"/>
      <c r="AM66" s="161" t="n">
        <f aca="false">IF(AK66="BDG sld ini", AF54,AI72)</f>
        <v>9.63000000000102</v>
      </c>
      <c r="AN66" s="162" t="s">
        <v>229</v>
      </c>
      <c r="AO66" s="162"/>
      <c r="AP66" s="163" t="n">
        <f aca="false">SUM(AP67:AP69)</f>
        <v>2076.25</v>
      </c>
      <c r="AR66" s="160" t="s">
        <v>228</v>
      </c>
      <c r="AS66" s="160"/>
      <c r="AT66" s="161" t="n">
        <f aca="false">IF(AR66="BDG sld ini", AM54,AP72)</f>
        <v>3506.63</v>
      </c>
      <c r="AU66" s="162" t="s">
        <v>229</v>
      </c>
      <c r="AV66" s="162"/>
      <c r="AW66" s="163" t="n">
        <f aca="false">SUM(AW67:AW69)</f>
        <v>2076.25</v>
      </c>
    </row>
    <row r="67" customFormat="false" ht="21" hidden="false" customHeight="true" outlineLevel="0" collapsed="false">
      <c r="B67" s="164" t="s">
        <v>231</v>
      </c>
      <c r="C67" s="164"/>
      <c r="D67" s="165" t="n">
        <f aca="false">599+250</f>
        <v>849</v>
      </c>
      <c r="E67" s="166"/>
      <c r="F67" s="166"/>
      <c r="G67" s="167"/>
      <c r="I67" s="164" t="s">
        <v>231</v>
      </c>
      <c r="J67" s="164"/>
      <c r="K67" s="165" t="n">
        <f aca="false">599+250</f>
        <v>849</v>
      </c>
      <c r="L67" s="166"/>
      <c r="M67" s="166"/>
      <c r="N67" s="167"/>
      <c r="P67" s="164" t="s">
        <v>231</v>
      </c>
      <c r="Q67" s="164"/>
      <c r="R67" s="165" t="n">
        <f aca="false">599+250</f>
        <v>849</v>
      </c>
      <c r="S67" s="166"/>
      <c r="T67" s="166"/>
      <c r="U67" s="167"/>
      <c r="W67" s="164" t="s">
        <v>231</v>
      </c>
      <c r="X67" s="164"/>
      <c r="Y67" s="165" t="n">
        <f aca="false">599+250</f>
        <v>849</v>
      </c>
      <c r="Z67" s="166"/>
      <c r="AA67" s="166"/>
      <c r="AB67" s="167"/>
      <c r="AD67" s="164" t="s">
        <v>231</v>
      </c>
      <c r="AE67" s="164"/>
      <c r="AF67" s="165" t="n">
        <f aca="false">599+250</f>
        <v>849</v>
      </c>
      <c r="AG67" s="166"/>
      <c r="AH67" s="166"/>
      <c r="AI67" s="167"/>
      <c r="AK67" s="164" t="s">
        <v>231</v>
      </c>
      <c r="AL67" s="164"/>
      <c r="AM67" s="165" t="n">
        <f aca="false">599+250</f>
        <v>849</v>
      </c>
      <c r="AN67" s="166"/>
      <c r="AO67" s="166"/>
      <c r="AP67" s="167"/>
      <c r="AR67" s="164" t="s">
        <v>231</v>
      </c>
      <c r="AS67" s="164"/>
      <c r="AT67" s="165" t="n">
        <f aca="false">599+250</f>
        <v>849</v>
      </c>
      <c r="AU67" s="166"/>
      <c r="AV67" s="166"/>
      <c r="AW67" s="167"/>
    </row>
    <row r="68" customFormat="false" ht="21" hidden="false" customHeight="true" outlineLevel="0" collapsed="false">
      <c r="B68" s="160" t="s">
        <v>232</v>
      </c>
      <c r="C68" s="160"/>
      <c r="D68" s="161"/>
      <c r="E68" s="168" t="s">
        <v>233</v>
      </c>
      <c r="F68" s="168"/>
      <c r="G68" s="169" t="n">
        <f aca="false">Cards!$D$3+Cards!$D$4+Cards!$D$6+Cards!$D$7</f>
        <v>2076.25</v>
      </c>
      <c r="I68" s="160"/>
      <c r="J68" s="160"/>
      <c r="K68" s="161"/>
      <c r="L68" s="168" t="s">
        <v>233</v>
      </c>
      <c r="M68" s="168"/>
      <c r="N68" s="169" t="n">
        <f aca="false">Cards!$D$3+Cards!$D$4+Cards!$D$6+Cards!$D$7</f>
        <v>2076.25</v>
      </c>
      <c r="P68" s="160" t="s">
        <v>158</v>
      </c>
      <c r="Q68" s="160"/>
      <c r="R68" s="161"/>
      <c r="S68" s="168" t="s">
        <v>233</v>
      </c>
      <c r="T68" s="168"/>
      <c r="U68" s="169" t="n">
        <f aca="false">Cards!$D$3+Cards!$D$4+Cards!$D$6+Cards!$D$7</f>
        <v>2076.25</v>
      </c>
      <c r="W68" s="160" t="s">
        <v>158</v>
      </c>
      <c r="X68" s="160"/>
      <c r="Y68" s="161"/>
      <c r="Z68" s="168" t="s">
        <v>233</v>
      </c>
      <c r="AA68" s="168"/>
      <c r="AB68" s="169" t="n">
        <f aca="false">Cards!$D$3+Cards!$D$4+Cards!$D$6+Cards!$D$7</f>
        <v>2076.25</v>
      </c>
      <c r="AD68" s="160" t="s">
        <v>158</v>
      </c>
      <c r="AE68" s="160"/>
      <c r="AF68" s="161" t="n">
        <v>19479</v>
      </c>
      <c r="AG68" s="168" t="s">
        <v>233</v>
      </c>
      <c r="AH68" s="168"/>
      <c r="AI68" s="169" t="n">
        <f aca="false">Cards!$D$3+Cards!$D$4+Cards!$D$6+Cards!$D$7</f>
        <v>2076.25</v>
      </c>
      <c r="AK68" s="160" t="s">
        <v>158</v>
      </c>
      <c r="AL68" s="160"/>
      <c r="AM68" s="170" t="n">
        <f aca="false">4642-792</f>
        <v>3850</v>
      </c>
      <c r="AN68" s="168" t="s">
        <v>233</v>
      </c>
      <c r="AO68" s="168"/>
      <c r="AP68" s="169" t="n">
        <f aca="false">Cards!$D$3+Cards!$D$4+Cards!$D$6+Cards!$D$7</f>
        <v>2076.25</v>
      </c>
      <c r="AR68" s="160" t="s">
        <v>158</v>
      </c>
      <c r="AS68" s="160"/>
      <c r="AT68" s="170"/>
      <c r="AU68" s="168" t="s">
        <v>233</v>
      </c>
      <c r="AV68" s="168"/>
      <c r="AW68" s="169" t="n">
        <f aca="false">Cards!$D$3+Cards!$D$4+Cards!$D$6+Cards!$D$7</f>
        <v>2076.25</v>
      </c>
    </row>
    <row r="69" customFormat="false" ht="21" hidden="false" customHeight="true" outlineLevel="0" collapsed="false">
      <c r="B69" s="160" t="s">
        <v>234</v>
      </c>
      <c r="C69" s="160"/>
      <c r="D69" s="161"/>
      <c r="E69" s="166"/>
      <c r="F69" s="166"/>
      <c r="G69" s="167"/>
      <c r="I69" s="160" t="s">
        <v>234</v>
      </c>
      <c r="J69" s="160"/>
      <c r="K69" s="161"/>
      <c r="L69" s="166"/>
      <c r="M69" s="166"/>
      <c r="N69" s="167"/>
      <c r="P69" s="160" t="s">
        <v>234</v>
      </c>
      <c r="Q69" s="160"/>
      <c r="R69" s="161"/>
      <c r="S69" s="166"/>
      <c r="T69" s="166"/>
      <c r="U69" s="167"/>
      <c r="W69" s="160" t="s">
        <v>234</v>
      </c>
      <c r="X69" s="160"/>
      <c r="Y69" s="161"/>
      <c r="Z69" s="166"/>
      <c r="AA69" s="166"/>
      <c r="AB69" s="167"/>
      <c r="AD69" s="160" t="s">
        <v>234</v>
      </c>
      <c r="AE69" s="160"/>
      <c r="AF69" s="161"/>
      <c r="AG69" s="166"/>
      <c r="AH69" s="166"/>
      <c r="AI69" s="167"/>
      <c r="AK69" s="160" t="s">
        <v>234</v>
      </c>
      <c r="AL69" s="160"/>
      <c r="AM69" s="161"/>
      <c r="AN69" s="166"/>
      <c r="AO69" s="166"/>
      <c r="AP69" s="167"/>
      <c r="AR69" s="160" t="s">
        <v>234</v>
      </c>
      <c r="AS69" s="160"/>
      <c r="AT69" s="161"/>
      <c r="AU69" s="166"/>
      <c r="AV69" s="166"/>
      <c r="AW69" s="167"/>
    </row>
    <row r="70" customFormat="false" ht="21" hidden="false" customHeight="true" outlineLevel="0" collapsed="false">
      <c r="B70" s="164" t="s">
        <v>235</v>
      </c>
      <c r="C70" s="164"/>
      <c r="D70" s="165" t="n">
        <v>1898</v>
      </c>
      <c r="E70" s="171" t="s">
        <v>236</v>
      </c>
      <c r="F70" s="171"/>
      <c r="G70" s="172" t="s">
        <v>237</v>
      </c>
      <c r="I70" s="164" t="s">
        <v>235</v>
      </c>
      <c r="J70" s="164"/>
      <c r="K70" s="165" t="n">
        <v>1898</v>
      </c>
      <c r="L70" s="171" t="s">
        <v>236</v>
      </c>
      <c r="M70" s="171"/>
      <c r="N70" s="172" t="s">
        <v>237</v>
      </c>
      <c r="P70" s="164" t="s">
        <v>235</v>
      </c>
      <c r="Q70" s="164"/>
      <c r="R70" s="165" t="n">
        <v>1898</v>
      </c>
      <c r="S70" s="171" t="s">
        <v>236</v>
      </c>
      <c r="T70" s="171"/>
      <c r="U70" s="172" t="s">
        <v>237</v>
      </c>
      <c r="W70" s="164" t="s">
        <v>235</v>
      </c>
      <c r="X70" s="164"/>
      <c r="Y70" s="165" t="n">
        <v>1898</v>
      </c>
      <c r="Z70" s="171" t="s">
        <v>236</v>
      </c>
      <c r="AA70" s="171"/>
      <c r="AB70" s="172" t="s">
        <v>237</v>
      </c>
      <c r="AD70" s="164" t="s">
        <v>235</v>
      </c>
      <c r="AE70" s="164"/>
      <c r="AF70" s="165" t="n">
        <v>1898</v>
      </c>
      <c r="AG70" s="171" t="s">
        <v>236</v>
      </c>
      <c r="AH70" s="171"/>
      <c r="AI70" s="172" t="s">
        <v>237</v>
      </c>
      <c r="AK70" s="164" t="s">
        <v>235</v>
      </c>
      <c r="AL70" s="164"/>
      <c r="AM70" s="165" t="n">
        <v>1898</v>
      </c>
      <c r="AN70" s="171" t="s">
        <v>236</v>
      </c>
      <c r="AO70" s="171"/>
      <c r="AP70" s="172" t="s">
        <v>237</v>
      </c>
      <c r="AR70" s="164" t="s">
        <v>235</v>
      </c>
      <c r="AS70" s="164"/>
      <c r="AT70" s="165" t="n">
        <v>1898</v>
      </c>
      <c r="AU70" s="171" t="s">
        <v>236</v>
      </c>
      <c r="AV70" s="171"/>
      <c r="AW70" s="172" t="s">
        <v>237</v>
      </c>
    </row>
    <row r="71" customFormat="false" ht="21" hidden="false" customHeight="true" outlineLevel="0" collapsed="false">
      <c r="B71" s="173" t="s">
        <v>238</v>
      </c>
      <c r="C71" s="173"/>
      <c r="D71" s="174" t="n">
        <f aca="false">SUM(D66:D70)</f>
        <v>4969.5</v>
      </c>
      <c r="E71" s="175" t="s">
        <v>239</v>
      </c>
      <c r="F71" s="176" t="s">
        <v>240</v>
      </c>
      <c r="G71" s="177" t="s">
        <v>241</v>
      </c>
      <c r="I71" s="173" t="s">
        <v>238</v>
      </c>
      <c r="J71" s="173"/>
      <c r="K71" s="174" t="n">
        <f aca="false">SUM(K66:K70)</f>
        <v>3491.5</v>
      </c>
      <c r="L71" s="175" t="s">
        <v>239</v>
      </c>
      <c r="M71" s="176" t="s">
        <v>240</v>
      </c>
      <c r="N71" s="177" t="s">
        <v>241</v>
      </c>
      <c r="P71" s="173" t="s">
        <v>238</v>
      </c>
      <c r="Q71" s="173"/>
      <c r="R71" s="174" t="n">
        <f aca="false">SUM(R66:R70)</f>
        <v>5199.5</v>
      </c>
      <c r="S71" s="175" t="s">
        <v>239</v>
      </c>
      <c r="T71" s="176" t="s">
        <v>240</v>
      </c>
      <c r="U71" s="177" t="s">
        <v>241</v>
      </c>
      <c r="W71" s="173" t="s">
        <v>238</v>
      </c>
      <c r="X71" s="173"/>
      <c r="Y71" s="174" t="n">
        <f aca="false">SUM(Y66:Y70)</f>
        <v>3300.76</v>
      </c>
      <c r="Z71" s="175" t="s">
        <v>239</v>
      </c>
      <c r="AA71" s="176" t="s">
        <v>240</v>
      </c>
      <c r="AB71" s="177" t="s">
        <v>241</v>
      </c>
      <c r="AD71" s="173" t="s">
        <v>238</v>
      </c>
      <c r="AE71" s="173"/>
      <c r="AF71" s="174" t="n">
        <f aca="false">SUM(AF66:AF70)</f>
        <v>22508.63</v>
      </c>
      <c r="AG71" s="175" t="s">
        <v>239</v>
      </c>
      <c r="AH71" s="176" t="s">
        <v>240</v>
      </c>
      <c r="AI71" s="177" t="s">
        <v>241</v>
      </c>
      <c r="AK71" s="173" t="s">
        <v>238</v>
      </c>
      <c r="AL71" s="173"/>
      <c r="AM71" s="174" t="n">
        <f aca="false">SUM(AM66:AM70)</f>
        <v>6606.63</v>
      </c>
      <c r="AN71" s="175" t="s">
        <v>239</v>
      </c>
      <c r="AO71" s="176" t="s">
        <v>240</v>
      </c>
      <c r="AP71" s="177" t="s">
        <v>241</v>
      </c>
      <c r="AR71" s="173" t="s">
        <v>238</v>
      </c>
      <c r="AS71" s="173"/>
      <c r="AT71" s="174" t="n">
        <f aca="false">SUM(AT66:AT70)</f>
        <v>6253.63</v>
      </c>
      <c r="AU71" s="175" t="s">
        <v>239</v>
      </c>
      <c r="AV71" s="176" t="s">
        <v>240</v>
      </c>
      <c r="AW71" s="177" t="s">
        <v>241</v>
      </c>
    </row>
    <row r="72" customFormat="false" ht="21" hidden="false" customHeight="true" outlineLevel="0" collapsed="false">
      <c r="B72" s="178" t="s">
        <v>242</v>
      </c>
      <c r="C72" s="178"/>
      <c r="D72" s="179" t="n">
        <f aca="false">D35+D50+D63</f>
        <v>7289</v>
      </c>
      <c r="E72" s="180" t="n">
        <f aca="false">IF(0=(IF(""=E35,0,E35)+IF(""=E50,0,E50)+IF(""=E63,0,E63)),0,IF(""=E35,0,E35)+IF(""=E50,0,E50)+IF(""=E63,0,E63))</f>
        <v>4225</v>
      </c>
      <c r="F72" s="181" t="n">
        <f aca="false" t="array" ref="F72:F72">SUM(IF(E4:E34="",D4:D34,E4:E34),IF(E39:E49="",D39:D49,E39:E49),IF(E54:E62="",D54:D62,E54:E62))</f>
        <v>4225</v>
      </c>
      <c r="G72" s="182" t="n">
        <f aca="false">D71-F72</f>
        <v>744.5</v>
      </c>
      <c r="I72" s="178" t="s">
        <v>242</v>
      </c>
      <c r="J72" s="178"/>
      <c r="K72" s="179" t="n">
        <f aca="false">K35+K50+K63</f>
        <v>5134</v>
      </c>
      <c r="L72" s="180" t="n">
        <f aca="false">IF(0=(IF(""=L35,0,L35)+IF(""=L50,0,L50)+IF(""=L63,0,L63)),0,IF(""=L35,0,L35)+IF(""=L50,0,L50)+IF(""=L63,0,L63))</f>
        <v>1039</v>
      </c>
      <c r="M72" s="181" t="n">
        <f aca="false" t="array" ref="M72:M72">SUM(IF(L4:L34="",K4:K34,L4:L34),IF(L39:L49="",K39:K49,L39:L49),IF(L54:L62="",K54:K62,L54:L62))</f>
        <v>1039</v>
      </c>
      <c r="N72" s="182" t="n">
        <f aca="false">K71-M72</f>
        <v>2452.5</v>
      </c>
      <c r="P72" s="178" t="s">
        <v>242</v>
      </c>
      <c r="Q72" s="178"/>
      <c r="R72" s="179" t="n">
        <f aca="false">R35+R50+R63</f>
        <v>6548</v>
      </c>
      <c r="S72" s="180" t="n">
        <f aca="false">IF(0=(IF(""=S35,0,S35)+IF(""=S50,0,S50)+IF(""=S63,0,S63)),0,IF(""=S35,0,S35)+IF(""=S50,0,S50)+IF(""=S63,0,S63))</f>
        <v>4645.74</v>
      </c>
      <c r="T72" s="181" t="n">
        <f aca="false" t="array" ref="T72:T72">SUM(IF(S4:S34="",R4:R34,S4:S34),IF(S39:S49="",R39:R49,S39:S49),IF(S54:S62="",R54:R62,S54:S62))</f>
        <v>4645.74</v>
      </c>
      <c r="U72" s="182" t="n">
        <f aca="false">R71-T72</f>
        <v>553.76</v>
      </c>
      <c r="W72" s="178" t="s">
        <v>242</v>
      </c>
      <c r="X72" s="178"/>
      <c r="Y72" s="179" t="n">
        <f aca="false">Y35+Y50+Y63</f>
        <v>5182</v>
      </c>
      <c r="Z72" s="180" t="n">
        <f aca="false">IF(0=(IF(""=Z35,0,Z35)+IF(""=Z50,0,Z50)+IF(""=Z63,0,Z63)),0,IF(""=Z35,0,Z35)+IF(""=Z50,0,Z50)+IF(""=Z63,0,Z63))</f>
        <v>3018.13</v>
      </c>
      <c r="AA72" s="181" t="n">
        <f aca="false" t="array" ref="AA72:AA72">SUM(IF(Z4:Z34="",Y4:Y34,Z4:Z34),IF(Z39:Z49="",Y39:Y49,Z39:Z49),IF(Z54:Z62="",Y54:Y62,Z54:Z62))</f>
        <v>3018.13</v>
      </c>
      <c r="AB72" s="182" t="n">
        <f aca="false">Y71-AA72</f>
        <v>282.63</v>
      </c>
      <c r="AD72" s="178" t="s">
        <v>242</v>
      </c>
      <c r="AE72" s="178"/>
      <c r="AF72" s="179" t="n">
        <f aca="false">AF35+AF50+AF63</f>
        <v>22765</v>
      </c>
      <c r="AG72" s="180" t="n">
        <f aca="false">IF(0=(IF(""=AG35,0,AG35)+IF(""=AG50,0,AG50)+IF(""=AG63,0,AG63)),0,IF(""=AG35,0,AG35)+IF(""=AG50,0,AG50)+IF(""=AG63,0,AG63))</f>
        <v>17686</v>
      </c>
      <c r="AH72" s="181" t="n">
        <f aca="false" t="array" ref="AH72:AH72">SUM(IF(AG4:AG34="",AF4:AF34,AG4:AG34),IF(AG39:AG49="",AF39:AF49,AG39:AG49),IF(AG54:AG62="",AF54:AF62,AG54:AG62))</f>
        <v>22499</v>
      </c>
      <c r="AI72" s="182" t="n">
        <f aca="false">AF71-AH72</f>
        <v>9.63000000000102</v>
      </c>
      <c r="AK72" s="178" t="s">
        <v>242</v>
      </c>
      <c r="AL72" s="178"/>
      <c r="AM72" s="179" t="n">
        <f aca="false">AM35+AM50+AM63</f>
        <v>3100</v>
      </c>
      <c r="AN72" s="180" t="n">
        <f aca="false">IF(0=(IF(""=AN35,0,AN35)+IF(""=AN50,0,AN50)+IF(""=AN63,0,AN63)),0,IF(""=AN35,0,AN35)+IF(""=AN50,0,AN50)+IF(""=AN63,0,AN63))</f>
        <v>0</v>
      </c>
      <c r="AO72" s="181" t="n">
        <f aca="false" t="array" ref="AO72:AO72">SUM(IF(AN4:AN34="",AM4:AM34,AN4:AN34),IF(AN39:AN49="",AM39:AM49,AN39:AN49),IF(AN54:AN62="",AM54:AM62,AN54:AN62))</f>
        <v>3100</v>
      </c>
      <c r="AP72" s="182" t="n">
        <f aca="false">AM71-AO72</f>
        <v>3506.63</v>
      </c>
      <c r="AR72" s="178" t="s">
        <v>242</v>
      </c>
      <c r="AS72" s="178"/>
      <c r="AT72" s="179" t="n">
        <f aca="false">AT35+AT50+AT63</f>
        <v>3200</v>
      </c>
      <c r="AU72" s="180" t="n">
        <f aca="false">IF(0=(IF(""=AU35,0,AU35)+IF(""=AU50,0,AU50)+IF(""=AU63,0,AU63)),0,IF(""=AU35,0,AU35)+IF(""=AU50,0,AU50)+IF(""=AU63,0,AU63))</f>
        <v>0</v>
      </c>
      <c r="AV72" s="181" t="n">
        <f aca="false" t="array" ref="AV72:AV72">SUM(IF(AU4:AU34="",AT4:AT34,AU4:AU34),IF(AU39:AU49="",AT39:AT49,AU39:AU49),IF(AU54:AU62="",AT54:AT62,AU54:AU62))</f>
        <v>3200</v>
      </c>
      <c r="AW72" s="182" t="n">
        <f aca="false">AT71-AV72</f>
        <v>3053.63</v>
      </c>
    </row>
    <row r="73" customFormat="false" ht="21" hidden="false" customHeight="true" outlineLevel="0" collapsed="false">
      <c r="B73" s="183" t="s">
        <v>243</v>
      </c>
      <c r="C73" s="183"/>
      <c r="D73" s="184" t="n">
        <f aca="false">D71-D72</f>
        <v>-2319.5</v>
      </c>
      <c r="E73" s="185" t="n">
        <f aca="false">D71-E72</f>
        <v>744.5</v>
      </c>
      <c r="F73" s="186" t="str">
        <f aca="false">"Act Sav = "&amp;IF(E72="","N/A",TEXT(G35+F50+F63,"#,##0.00_);[Red](-#,##0.00)"))</f>
        <v>Act Sav = 3,064.00</v>
      </c>
      <c r="G73" s="186"/>
      <c r="I73" s="183" t="s">
        <v>243</v>
      </c>
      <c r="J73" s="183"/>
      <c r="K73" s="184" t="n">
        <f aca="false">K71-K72</f>
        <v>-1642.5</v>
      </c>
      <c r="L73" s="185" t="n">
        <f aca="false">K71-L72</f>
        <v>2452.5</v>
      </c>
      <c r="M73" s="186" t="str">
        <f aca="false">"Act Sav = "&amp;IF(L72="","N/A",TEXT(N35+M50+M63,"#,##0.00_);[Red](-#,##0.00)"))</f>
        <v>Act Sav = 4,095.00</v>
      </c>
      <c r="N73" s="186"/>
      <c r="P73" s="183" t="s">
        <v>243</v>
      </c>
      <c r="Q73" s="183"/>
      <c r="R73" s="184" t="n">
        <f aca="false">R71-R72</f>
        <v>-1348.5</v>
      </c>
      <c r="S73" s="185" t="n">
        <f aca="false">R71-S72</f>
        <v>553.76</v>
      </c>
      <c r="T73" s="186" t="str">
        <f aca="false">"Act Sav = "&amp;IF(S72="","N/A",TEXT(U35+T50+T63,"#,##0.00_);[Red](-#,##0.00)"))</f>
        <v>Act Sav = 1,902.26</v>
      </c>
      <c r="U73" s="186"/>
      <c r="W73" s="183" t="s">
        <v>243</v>
      </c>
      <c r="X73" s="183"/>
      <c r="Y73" s="184" t="n">
        <f aca="false">Y71-Y72</f>
        <v>-1881.24</v>
      </c>
      <c r="Z73" s="185" t="n">
        <f aca="false">Y71-Z72</f>
        <v>282.63</v>
      </c>
      <c r="AA73" s="186" t="str">
        <f aca="false">"Act Sav = "&amp;IF(Z72="","N/A",TEXT(AB35+AA50+AA63,"#,##0.00_);[Red](-#,##0.00)"))</f>
        <v>Act Sav = 2,163.87</v>
      </c>
      <c r="AB73" s="186"/>
      <c r="AD73" s="183" t="s">
        <v>243</v>
      </c>
      <c r="AE73" s="183"/>
      <c r="AF73" s="184" t="n">
        <f aca="false">AF71-AF72</f>
        <v>-256.369999999999</v>
      </c>
      <c r="AG73" s="185" t="n">
        <f aca="false">AF71-AG72</f>
        <v>4822.63</v>
      </c>
      <c r="AH73" s="186" t="str">
        <f aca="false">"Act Sav = "&amp;IF(AG72="","N/A",TEXT(AI35+AH50+AH63,"#,##0.00_);[Red](-#,##0.00)"))</f>
        <v>Act Sav = 266.00 </v>
      </c>
      <c r="AI73" s="186"/>
      <c r="AK73" s="183" t="s">
        <v>243</v>
      </c>
      <c r="AL73" s="183"/>
      <c r="AM73" s="184" t="n">
        <f aca="false">AM71-AM72</f>
        <v>3506.63</v>
      </c>
      <c r="AN73" s="185" t="n">
        <f aca="false">AM71-AN72</f>
        <v>6606.63</v>
      </c>
      <c r="AO73" s="186" t="str">
        <f aca="false">"Act Sav = "&amp;IF(AN72="","N/A",TEXT(AP35+AO50+AO63,"#,##0.00_);[Red](-#,##0.00)"))</f>
        <v>Act Sav = 0.00</v>
      </c>
      <c r="AP73" s="186"/>
      <c r="AR73" s="183" t="s">
        <v>243</v>
      </c>
      <c r="AS73" s="183"/>
      <c r="AT73" s="184" t="n">
        <f aca="false">AT71-AT72</f>
        <v>3053.63</v>
      </c>
      <c r="AU73" s="185" t="n">
        <f aca="false">AT71-AU72</f>
        <v>6253.63</v>
      </c>
      <c r="AV73" s="186" t="str">
        <f aca="false">"Act Sav = "&amp;IF(AU72="","N/A",TEXT(AW35+AV50+AV63,"#,##0.00_);[Red](-#,##0.00)"))</f>
        <v>Act Sav = 0.00</v>
      </c>
      <c r="AW73" s="186"/>
    </row>
    <row r="74" customFormat="false" ht="21" hidden="false" customHeight="true" outlineLevel="0" collapsed="false">
      <c r="B74" s="187"/>
      <c r="C74" s="188"/>
      <c r="D74" s="189"/>
      <c r="F74" s="190" t="s">
        <v>244</v>
      </c>
      <c r="G74" s="191" t="n">
        <f aca="false">D67+D68+D69+D70-1898-599-250</f>
        <v>0</v>
      </c>
      <c r="I74" s="187"/>
      <c r="J74" s="188"/>
      <c r="K74" s="189"/>
      <c r="M74" s="190" t="s">
        <v>244</v>
      </c>
      <c r="N74" s="191" t="n">
        <f aca="false">K67+K68+K69+K70-599-1898-250</f>
        <v>0</v>
      </c>
      <c r="P74" s="187"/>
      <c r="Q74" s="188"/>
      <c r="R74" s="189"/>
      <c r="T74" s="190" t="s">
        <v>244</v>
      </c>
      <c r="U74" s="191" t="n">
        <f aca="false">R67+R68+R69+R70-1898-599-250</f>
        <v>0</v>
      </c>
      <c r="W74" s="187"/>
      <c r="X74" s="188"/>
      <c r="Y74" s="189"/>
      <c r="AA74" s="190" t="s">
        <v>244</v>
      </c>
      <c r="AB74" s="191" t="n">
        <f aca="false">Y67+Y68+Y69+Y70-1898-599-250</f>
        <v>0</v>
      </c>
      <c r="AD74" s="187"/>
      <c r="AE74" s="188"/>
      <c r="AF74" s="189"/>
      <c r="AH74" s="190" t="s">
        <v>244</v>
      </c>
      <c r="AI74" s="191" t="n">
        <f aca="false">AF67+AF68+AF69+AF70-19479</f>
        <v>2747</v>
      </c>
      <c r="AK74" s="187"/>
      <c r="AL74" s="188"/>
      <c r="AM74" s="189"/>
      <c r="AO74" s="190" t="s">
        <v>244</v>
      </c>
      <c r="AP74" s="191" t="n">
        <f aca="false">AM67+AM68+AM69+AM70</f>
        <v>6597</v>
      </c>
      <c r="AR74" s="187"/>
      <c r="AS74" s="188"/>
      <c r="AT74" s="189"/>
      <c r="AV74" s="190" t="s">
        <v>244</v>
      </c>
      <c r="AW74" s="191" t="n">
        <f aca="false">AT67+AT68+AT69+AT70</f>
        <v>2747</v>
      </c>
    </row>
    <row r="75" customFormat="false" ht="21" hidden="false" customHeight="true" outlineLevel="0" collapsed="false">
      <c r="B75" s="192" t="s">
        <v>245</v>
      </c>
      <c r="C75" s="192"/>
      <c r="D75" s="193" t="n">
        <v>599</v>
      </c>
      <c r="F75" s="194" t="s">
        <v>246</v>
      </c>
      <c r="G75" s="191" t="n">
        <v>0</v>
      </c>
      <c r="I75" s="192" t="s">
        <v>245</v>
      </c>
      <c r="J75" s="192"/>
      <c r="K75" s="193" t="n">
        <v>599</v>
      </c>
      <c r="M75" s="194" t="s">
        <v>246</v>
      </c>
      <c r="N75" s="191" t="n">
        <f aca="false">0</f>
        <v>0</v>
      </c>
      <c r="P75" s="195" t="s">
        <v>245</v>
      </c>
      <c r="Q75" s="195"/>
      <c r="R75" s="196" t="n">
        <v>599</v>
      </c>
      <c r="T75" s="194" t="s">
        <v>246</v>
      </c>
      <c r="U75" s="191" t="n">
        <v>0</v>
      </c>
      <c r="W75" s="195" t="s">
        <v>245</v>
      </c>
      <c r="X75" s="195"/>
      <c r="Y75" s="196" t="n">
        <v>599</v>
      </c>
      <c r="AA75" s="194" t="s">
        <v>246</v>
      </c>
      <c r="AB75" s="191" t="n">
        <v>0</v>
      </c>
      <c r="AD75" s="197" t="s">
        <v>245</v>
      </c>
      <c r="AE75" s="197"/>
      <c r="AF75" s="198" t="n">
        <v>599</v>
      </c>
      <c r="AH75" s="194" t="s">
        <v>246</v>
      </c>
      <c r="AI75" s="191" t="n">
        <v>0</v>
      </c>
      <c r="AK75" s="197" t="s">
        <v>245</v>
      </c>
      <c r="AL75" s="197"/>
      <c r="AM75" s="198" t="n">
        <v>599</v>
      </c>
      <c r="AO75" s="194" t="s">
        <v>246</v>
      </c>
      <c r="AP75" s="191" t="s">
        <v>178</v>
      </c>
      <c r="AR75" s="197" t="s">
        <v>245</v>
      </c>
      <c r="AS75" s="197"/>
      <c r="AT75" s="198" t="n">
        <v>599</v>
      </c>
      <c r="AV75" s="194" t="s">
        <v>246</v>
      </c>
      <c r="AW75" s="191" t="s">
        <v>178</v>
      </c>
    </row>
    <row r="76" customFormat="false" ht="21" hidden="false" customHeight="true" outlineLevel="0" collapsed="false">
      <c r="B76" s="199" t="s">
        <v>247</v>
      </c>
      <c r="C76" s="199"/>
      <c r="D76" s="200" t="n">
        <v>250</v>
      </c>
      <c r="F76" s="201" t="s">
        <v>248</v>
      </c>
      <c r="G76" s="191" t="n">
        <f aca="false">G66+G74+G75</f>
        <v>2076.25</v>
      </c>
      <c r="I76" s="199" t="s">
        <v>247</v>
      </c>
      <c r="J76" s="199"/>
      <c r="K76" s="200" t="n">
        <v>250</v>
      </c>
      <c r="M76" s="201" t="s">
        <v>248</v>
      </c>
      <c r="N76" s="191" t="n">
        <f aca="false">N66+N74+N75</f>
        <v>2076.25</v>
      </c>
      <c r="P76" s="202" t="s">
        <v>247</v>
      </c>
      <c r="Q76" s="202"/>
      <c r="R76" s="203" t="n">
        <v>250</v>
      </c>
      <c r="T76" s="201" t="s">
        <v>248</v>
      </c>
      <c r="U76" s="191" t="n">
        <f aca="false">U66+U74+U75</f>
        <v>2076.25</v>
      </c>
      <c r="W76" s="202" t="s">
        <v>247</v>
      </c>
      <c r="X76" s="202"/>
      <c r="Y76" s="203" t="n">
        <v>250</v>
      </c>
      <c r="AA76" s="201" t="s">
        <v>248</v>
      </c>
      <c r="AB76" s="191" t="n">
        <f aca="false">AB66+AB74+AB75</f>
        <v>2076.25</v>
      </c>
      <c r="AD76" s="204" t="s">
        <v>247</v>
      </c>
      <c r="AE76" s="204"/>
      <c r="AF76" s="205" t="n">
        <v>250</v>
      </c>
      <c r="AH76" s="201" t="s">
        <v>248</v>
      </c>
      <c r="AI76" s="191" t="n">
        <f aca="false">AI66+AI74+AI75</f>
        <v>4823.25</v>
      </c>
      <c r="AK76" s="204" t="s">
        <v>247</v>
      </c>
      <c r="AL76" s="204"/>
      <c r="AM76" s="205" t="n">
        <v>250</v>
      </c>
      <c r="AO76" s="201" t="s">
        <v>248</v>
      </c>
      <c r="AP76" s="191" t="e">
        <f aca="false">AP66+AP74+AP75</f>
        <v>#VALUE!</v>
      </c>
      <c r="AR76" s="204" t="s">
        <v>247</v>
      </c>
      <c r="AS76" s="204"/>
      <c r="AT76" s="205" t="n">
        <v>250</v>
      </c>
      <c r="AV76" s="201" t="s">
        <v>248</v>
      </c>
      <c r="AW76" s="191" t="e">
        <f aca="false">AW66+AW74+AW75</f>
        <v>#VALUE!</v>
      </c>
    </row>
    <row r="77" customFormat="false" ht="21" hidden="false" customHeight="true" outlineLevel="0" collapsed="false">
      <c r="B77" s="199" t="s">
        <v>249</v>
      </c>
      <c r="C77" s="199"/>
      <c r="D77" s="200" t="n">
        <v>1898</v>
      </c>
      <c r="G77" s="191" t="n">
        <f aca="false">G76-E73</f>
        <v>1331.75</v>
      </c>
      <c r="I77" s="199" t="s">
        <v>249</v>
      </c>
      <c r="J77" s="199"/>
      <c r="K77" s="200" t="n">
        <v>1898</v>
      </c>
      <c r="N77" s="191" t="n">
        <f aca="false">N76-L73</f>
        <v>-376.25</v>
      </c>
      <c r="P77" s="202" t="s">
        <v>249</v>
      </c>
      <c r="Q77" s="202"/>
      <c r="R77" s="203" t="n">
        <v>1898</v>
      </c>
      <c r="U77" s="191" t="n">
        <f aca="false">U76-S73</f>
        <v>1522.49</v>
      </c>
      <c r="W77" s="202" t="s">
        <v>249</v>
      </c>
      <c r="X77" s="202"/>
      <c r="Y77" s="203" t="n">
        <v>1898</v>
      </c>
      <c r="AB77" s="191" t="n">
        <f aca="false">AB76-Z73</f>
        <v>1793.62</v>
      </c>
      <c r="AD77" s="204" t="s">
        <v>249</v>
      </c>
      <c r="AE77" s="204"/>
      <c r="AF77" s="205" t="n">
        <v>1898</v>
      </c>
      <c r="AI77" s="191" t="n">
        <f aca="false">AI76-AG73</f>
        <v>0.619999999998981</v>
      </c>
      <c r="AK77" s="204" t="s">
        <v>249</v>
      </c>
      <c r="AL77" s="204"/>
      <c r="AM77" s="205" t="n">
        <v>1898</v>
      </c>
      <c r="AP77" s="191" t="e">
        <f aca="false">AP76-AN73</f>
        <v>#VALUE!</v>
      </c>
      <c r="AR77" s="204" t="s">
        <v>249</v>
      </c>
      <c r="AS77" s="204"/>
      <c r="AT77" s="205" t="n">
        <v>1898</v>
      </c>
      <c r="AW77" s="191" t="e">
        <f aca="false">AW76-AU73</f>
        <v>#VALUE!</v>
      </c>
    </row>
    <row r="78" customFormat="false" ht="21" hidden="false" customHeight="true" outlineLevel="0" collapsed="false">
      <c r="B78" s="206"/>
      <c r="C78" s="206"/>
      <c r="D78" s="207"/>
      <c r="F78" s="201" t="s">
        <v>250</v>
      </c>
      <c r="G78" s="208" t="n">
        <f aca="false">G68+G75</f>
        <v>2076.25</v>
      </c>
      <c r="I78" s="206"/>
      <c r="J78" s="206"/>
      <c r="K78" s="207"/>
      <c r="M78" s="201" t="s">
        <v>250</v>
      </c>
      <c r="N78" s="208" t="n">
        <f aca="false">N68+N75</f>
        <v>2076.25</v>
      </c>
      <c r="P78" s="209"/>
      <c r="Q78" s="209"/>
      <c r="R78" s="210"/>
      <c r="T78" s="201" t="s">
        <v>250</v>
      </c>
      <c r="U78" s="208" t="n">
        <f aca="false">U68+U75</f>
        <v>2076.25</v>
      </c>
      <c r="W78" s="209"/>
      <c r="X78" s="209"/>
      <c r="Y78" s="210"/>
      <c r="AA78" s="201" t="s">
        <v>250</v>
      </c>
      <c r="AB78" s="208" t="n">
        <f aca="false">AB68+AB75</f>
        <v>2076.25</v>
      </c>
      <c r="AD78" s="211" t="s">
        <v>158</v>
      </c>
      <c r="AE78" s="211"/>
      <c r="AF78" s="212" t="n">
        <f aca="false">AF68</f>
        <v>19479</v>
      </c>
      <c r="AH78" s="201" t="s">
        <v>250</v>
      </c>
      <c r="AI78" s="208" t="n">
        <f aca="false">AI68+AI75</f>
        <v>2076.25</v>
      </c>
      <c r="AK78" s="211" t="s">
        <v>158</v>
      </c>
      <c r="AL78" s="211"/>
      <c r="AM78" s="212" t="n">
        <f aca="false">AM68</f>
        <v>3850</v>
      </c>
      <c r="AO78" s="201" t="s">
        <v>250</v>
      </c>
      <c r="AP78" s="208" t="e">
        <f aca="false">AP68+AP75</f>
        <v>#VALUE!</v>
      </c>
      <c r="AR78" s="211" t="s">
        <v>158</v>
      </c>
      <c r="AS78" s="211"/>
      <c r="AT78" s="212" t="n">
        <f aca="false">AT68</f>
        <v>0</v>
      </c>
      <c r="AV78" s="201" t="s">
        <v>250</v>
      </c>
      <c r="AW78" s="208" t="e">
        <f aca="false">AW68+AW75</f>
        <v>#VALUE!</v>
      </c>
    </row>
    <row r="79" customFormat="false" ht="21" hidden="false" customHeight="true" outlineLevel="0" collapsed="false">
      <c r="B79" s="213" t="s">
        <v>251</v>
      </c>
      <c r="C79" s="213"/>
      <c r="D79" s="214" t="n">
        <f aca="false">SUM(D75:D78)</f>
        <v>2747</v>
      </c>
      <c r="F79" s="194" t="s">
        <v>252</v>
      </c>
      <c r="G79" s="215" t="n">
        <f aca="true">(MAX(B4:B34)+1)-TODAY()</f>
        <v>-98</v>
      </c>
      <c r="I79" s="213" t="s">
        <v>251</v>
      </c>
      <c r="J79" s="213"/>
      <c r="K79" s="214" t="n">
        <f aca="false">SUM(K75:K78)</f>
        <v>2747</v>
      </c>
      <c r="M79" s="194" t="s">
        <v>252</v>
      </c>
      <c r="N79" s="215" t="n">
        <f aca="true">(MAX(I4:I34)+1)-TODAY()</f>
        <v>-67</v>
      </c>
      <c r="P79" s="213" t="s">
        <v>251</v>
      </c>
      <c r="Q79" s="213"/>
      <c r="R79" s="214" t="n">
        <f aca="false">SUM(R75:R78)</f>
        <v>2747</v>
      </c>
      <c r="T79" s="194" t="s">
        <v>252</v>
      </c>
      <c r="U79" s="215" t="n">
        <f aca="true">(MAX(P4:P34)+1)-TODAY()</f>
        <v>-37</v>
      </c>
      <c r="W79" s="213" t="s">
        <v>251</v>
      </c>
      <c r="X79" s="213"/>
      <c r="Y79" s="214" t="n">
        <f aca="false">SUM(Y75:Y78)</f>
        <v>2747</v>
      </c>
      <c r="AA79" s="194" t="s">
        <v>252</v>
      </c>
      <c r="AB79" s="215" t="n">
        <f aca="true">(MAX(W4:W34)+1)-TODAY()</f>
        <v>-6</v>
      </c>
      <c r="AD79" s="213" t="s">
        <v>251</v>
      </c>
      <c r="AE79" s="213"/>
      <c r="AF79" s="214" t="n">
        <f aca="false">SUM(AF75:AF78)</f>
        <v>22226</v>
      </c>
      <c r="AH79" s="194" t="s">
        <v>252</v>
      </c>
      <c r="AI79" s="215" t="n">
        <f aca="true">(MAX(AD4:AD34)+1)-TODAY()</f>
        <v>25</v>
      </c>
      <c r="AK79" s="213" t="s">
        <v>251</v>
      </c>
      <c r="AL79" s="213"/>
      <c r="AM79" s="214" t="n">
        <f aca="false">SUM(AM75:AM78)</f>
        <v>6597</v>
      </c>
      <c r="AO79" s="194" t="s">
        <v>252</v>
      </c>
      <c r="AP79" s="215" t="n">
        <f aca="true">(MAX(AK4:AK34)+1)-TODAY()</f>
        <v>55</v>
      </c>
      <c r="AR79" s="213" t="s">
        <v>251</v>
      </c>
      <c r="AS79" s="213"/>
      <c r="AT79" s="214" t="n">
        <f aca="false">SUM(AT75:AT78)</f>
        <v>2747</v>
      </c>
      <c r="AV79" s="194" t="s">
        <v>252</v>
      </c>
      <c r="AW79" s="215" t="n">
        <f aca="true">(MAX(AR4:AR34)+1)-TODAY()</f>
        <v>86</v>
      </c>
    </row>
    <row r="80" customFormat="false" ht="21" hidden="false" customHeight="true" outlineLevel="0" collapsed="false">
      <c r="B80" s="216"/>
      <c r="D80" s="217"/>
      <c r="E80" s="189"/>
      <c r="F80" s="194" t="s">
        <v>253</v>
      </c>
      <c r="G80" s="215" t="n">
        <f aca="false">G78/G79</f>
        <v>-21.1862244897959</v>
      </c>
      <c r="I80" s="216"/>
      <c r="K80" s="217"/>
      <c r="L80" s="189"/>
      <c r="M80" s="194" t="s">
        <v>253</v>
      </c>
      <c r="N80" s="215" t="n">
        <f aca="false">N78/N79</f>
        <v>-30.9888059701493</v>
      </c>
      <c r="P80" s="216"/>
      <c r="R80" s="217"/>
      <c r="S80" s="189"/>
      <c r="T80" s="194" t="s">
        <v>253</v>
      </c>
      <c r="U80" s="215" t="n">
        <f aca="false">U78/U79</f>
        <v>-56.1148648648649</v>
      </c>
      <c r="W80" s="216"/>
      <c r="Y80" s="217"/>
      <c r="Z80" s="189"/>
      <c r="AA80" s="194" t="s">
        <v>253</v>
      </c>
      <c r="AB80" s="215" t="n">
        <f aca="false">AB78/AB79</f>
        <v>-346.041666666667</v>
      </c>
      <c r="AD80" s="216"/>
      <c r="AF80" s="217"/>
      <c r="AG80" s="189"/>
      <c r="AH80" s="194" t="s">
        <v>253</v>
      </c>
      <c r="AI80" s="215" t="n">
        <f aca="false">AI78/AI79</f>
        <v>83.05</v>
      </c>
      <c r="AK80" s="216"/>
      <c r="AM80" s="217"/>
      <c r="AN80" s="189"/>
      <c r="AO80" s="194" t="s">
        <v>253</v>
      </c>
      <c r="AP80" s="215" t="e">
        <f aca="false">AP78/AP79</f>
        <v>#VALUE!</v>
      </c>
      <c r="AR80" s="216"/>
      <c r="AT80" s="217"/>
      <c r="AU80" s="189"/>
      <c r="AV80" s="194" t="s">
        <v>253</v>
      </c>
      <c r="AW80" s="215" t="e">
        <f aca="false">AW78/AW79</f>
        <v>#VALUE!</v>
      </c>
    </row>
    <row r="81" customFormat="false" ht="21" hidden="false" customHeight="true" outlineLevel="0" collapsed="false">
      <c r="A81" s="85"/>
      <c r="B81" s="217"/>
      <c r="C81" s="218"/>
      <c r="D81" s="194"/>
      <c r="E81" s="219"/>
      <c r="F81" s="194"/>
      <c r="H81" s="85"/>
      <c r="I81" s="220"/>
      <c r="J81" s="221"/>
      <c r="K81" s="220"/>
      <c r="L81" s="219"/>
      <c r="M81" s="220"/>
      <c r="N81" s="222"/>
      <c r="O81" s="85"/>
      <c r="P81" s="220"/>
      <c r="Q81" s="221"/>
      <c r="R81" s="220"/>
      <c r="S81" s="219"/>
      <c r="T81" s="220"/>
      <c r="U81" s="222"/>
      <c r="V81" s="85"/>
      <c r="W81" s="220"/>
      <c r="X81" s="221"/>
      <c r="Y81" s="220"/>
      <c r="Z81" s="219"/>
      <c r="AA81" s="220"/>
      <c r="AB81" s="222"/>
      <c r="AC81" s="85"/>
      <c r="AD81" s="220"/>
      <c r="AE81" s="221"/>
      <c r="AF81" s="220"/>
      <c r="AG81" s="219"/>
      <c r="AH81" s="220"/>
      <c r="AI81" s="222"/>
      <c r="AJ81" s="85"/>
      <c r="AK81" s="220"/>
      <c r="AL81" s="221"/>
      <c r="AM81" s="220"/>
      <c r="AN81" s="219"/>
      <c r="AO81" s="220"/>
      <c r="AP81" s="222"/>
      <c r="AQ81" s="85"/>
      <c r="AR81" s="220"/>
      <c r="AS81" s="221"/>
      <c r="AT81" s="220"/>
      <c r="AU81" s="219"/>
      <c r="AV81" s="220"/>
      <c r="AW81" s="222"/>
    </row>
    <row r="82" customFormat="false" ht="21" hidden="false" customHeight="true" outlineLevel="0" collapsed="false">
      <c r="B82" s="217"/>
      <c r="C82" s="218"/>
      <c r="D82" s="194"/>
      <c r="E82" s="219"/>
      <c r="F82" s="194"/>
      <c r="I82" s="55"/>
      <c r="J82" s="55"/>
      <c r="K82" s="55"/>
      <c r="L82" s="55"/>
      <c r="M82" s="55"/>
      <c r="N82" s="0"/>
      <c r="P82" s="220"/>
      <c r="Q82" s="221"/>
      <c r="R82" s="220"/>
      <c r="S82" s="219"/>
      <c r="T82" s="220"/>
      <c r="U82" s="222"/>
      <c r="W82" s="220"/>
      <c r="X82" s="221"/>
      <c r="Y82" s="220"/>
      <c r="Z82" s="219"/>
      <c r="AA82" s="220"/>
      <c r="AB82" s="222"/>
      <c r="AC82" s="85"/>
      <c r="AD82" s="55"/>
      <c r="AE82" s="223" t="s">
        <v>254</v>
      </c>
      <c r="AF82" s="224" t="s">
        <v>255</v>
      </c>
      <c r="AG82" s="224" t="s">
        <v>256</v>
      </c>
      <c r="AH82" s="224" t="s">
        <v>257</v>
      </c>
      <c r="AI82" s="0"/>
      <c r="AK82" s="55"/>
      <c r="AL82" s="223" t="s">
        <v>254</v>
      </c>
      <c r="AM82" s="224" t="s">
        <v>255</v>
      </c>
      <c r="AN82" s="224" t="s">
        <v>256</v>
      </c>
      <c r="AO82" s="224" t="s">
        <v>257</v>
      </c>
      <c r="AP82" s="0"/>
      <c r="AR82" s="55"/>
      <c r="AS82" s="223" t="s">
        <v>254</v>
      </c>
      <c r="AT82" s="224" t="s">
        <v>255</v>
      </c>
      <c r="AU82" s="224" t="s">
        <v>256</v>
      </c>
      <c r="AV82" s="224" t="s">
        <v>257</v>
      </c>
      <c r="AW82" s="0"/>
    </row>
    <row r="83" customFormat="false" ht="21" hidden="false" customHeight="true" outlineLevel="0" collapsed="false">
      <c r="B83" s="217"/>
      <c r="C83" s="218"/>
      <c r="D83" s="194"/>
      <c r="E83" s="219"/>
      <c r="F83" s="194"/>
      <c r="I83" s="55"/>
      <c r="J83" s="55"/>
      <c r="K83" s="55"/>
      <c r="L83" s="55"/>
      <c r="M83" s="55"/>
      <c r="N83" s="0"/>
      <c r="P83" s="220"/>
      <c r="Q83" s="221"/>
      <c r="R83" s="220"/>
      <c r="S83" s="219"/>
      <c r="T83" s="220"/>
      <c r="U83" s="222"/>
      <c r="W83" s="220"/>
      <c r="X83" s="221"/>
      <c r="Y83" s="220"/>
      <c r="Z83" s="219"/>
      <c r="AA83" s="220"/>
      <c r="AB83" s="222"/>
      <c r="AC83" s="85"/>
      <c r="AD83" s="55"/>
      <c r="AE83" s="217" t="s">
        <v>258</v>
      </c>
      <c r="AF83" s="194" t="n">
        <v>5</v>
      </c>
      <c r="AG83" s="194" t="n">
        <v>29</v>
      </c>
      <c r="AH83" s="194" t="n">
        <v>5</v>
      </c>
      <c r="AI83" s="0"/>
      <c r="AK83" s="55"/>
      <c r="AL83" s="217" t="s">
        <v>258</v>
      </c>
      <c r="AM83" s="194" t="n">
        <v>5</v>
      </c>
      <c r="AN83" s="194" t="n">
        <v>29</v>
      </c>
      <c r="AO83" s="194" t="n">
        <v>5</v>
      </c>
      <c r="AP83" s="0"/>
      <c r="AR83" s="55"/>
      <c r="AS83" s="217" t="s">
        <v>258</v>
      </c>
      <c r="AT83" s="194" t="n">
        <v>5</v>
      </c>
      <c r="AU83" s="194" t="n">
        <v>29</v>
      </c>
      <c r="AV83" s="194" t="n">
        <v>5</v>
      </c>
      <c r="AW83" s="0"/>
    </row>
    <row r="84" customFormat="false" ht="21" hidden="false" customHeight="true" outlineLevel="0" collapsed="false">
      <c r="B84" s="217"/>
      <c r="C84" s="218"/>
      <c r="D84" s="194"/>
      <c r="E84" s="219"/>
      <c r="F84" s="194"/>
      <c r="I84" s="55"/>
      <c r="J84" s="55"/>
      <c r="K84" s="55"/>
      <c r="L84" s="55"/>
      <c r="M84" s="55"/>
      <c r="N84" s="0"/>
      <c r="P84" s="220"/>
      <c r="Q84" s="221"/>
      <c r="R84" s="220"/>
      <c r="S84" s="219"/>
      <c r="T84" s="220"/>
      <c r="U84" s="222"/>
      <c r="W84" s="220"/>
      <c r="X84" s="221"/>
      <c r="Y84" s="220"/>
      <c r="Z84" s="219"/>
      <c r="AA84" s="220"/>
      <c r="AB84" s="222"/>
      <c r="AC84" s="85"/>
      <c r="AD84" s="55"/>
      <c r="AE84" s="217" t="s">
        <v>259</v>
      </c>
      <c r="AF84" s="194" t="n">
        <v>5</v>
      </c>
      <c r="AG84" s="194" t="n">
        <v>8</v>
      </c>
      <c r="AH84" s="215" t="n">
        <v>15629</v>
      </c>
      <c r="AI84" s="0"/>
      <c r="AK84" s="55"/>
      <c r="AL84" s="217" t="s">
        <v>259</v>
      </c>
      <c r="AM84" s="194" t="n">
        <v>5</v>
      </c>
      <c r="AN84" s="194" t="n">
        <v>8</v>
      </c>
      <c r="AO84" s="215"/>
      <c r="AP84" s="0"/>
      <c r="AR84" s="55"/>
      <c r="AS84" s="217" t="s">
        <v>259</v>
      </c>
      <c r="AT84" s="194" t="n">
        <v>5</v>
      </c>
      <c r="AU84" s="194" t="n">
        <v>8</v>
      </c>
      <c r="AV84" s="215"/>
      <c r="AW84" s="0"/>
    </row>
    <row r="85" customFormat="false" ht="21" hidden="false" customHeight="true" outlineLevel="0" collapsed="false">
      <c r="B85" s="217"/>
      <c r="C85" s="218"/>
      <c r="D85" s="194"/>
      <c r="E85" s="219"/>
      <c r="F85" s="194"/>
      <c r="I85" s="55"/>
      <c r="J85" s="55"/>
      <c r="K85" s="55"/>
      <c r="L85" s="55"/>
      <c r="M85" s="55"/>
      <c r="N85" s="0"/>
      <c r="P85" s="220"/>
      <c r="Q85" s="221"/>
      <c r="R85" s="220"/>
      <c r="S85" s="219"/>
      <c r="T85" s="220"/>
      <c r="U85" s="222"/>
      <c r="W85" s="220"/>
      <c r="X85" s="221"/>
      <c r="Y85" s="220"/>
      <c r="Z85" s="219"/>
      <c r="AA85" s="220"/>
      <c r="AB85" s="222"/>
      <c r="AC85" s="85"/>
      <c r="AD85" s="55"/>
      <c r="AE85" s="217" t="s">
        <v>168</v>
      </c>
      <c r="AF85" s="194"/>
      <c r="AG85" s="194" t="n">
        <v>595</v>
      </c>
      <c r="AH85" s="215" t="n">
        <v>4642</v>
      </c>
      <c r="AI85" s="0"/>
      <c r="AK85" s="55"/>
      <c r="AL85" s="217" t="s">
        <v>168</v>
      </c>
      <c r="AM85" s="194"/>
      <c r="AN85" s="194" t="n">
        <v>595</v>
      </c>
      <c r="AO85" s="215"/>
      <c r="AP85" s="0"/>
      <c r="AR85" s="55"/>
      <c r="AS85" s="217" t="s">
        <v>168</v>
      </c>
      <c r="AT85" s="194"/>
      <c r="AU85" s="194" t="n">
        <v>595</v>
      </c>
      <c r="AV85" s="215"/>
      <c r="AW85" s="0"/>
    </row>
    <row r="86" customFormat="false" ht="21" hidden="false" customHeight="true" outlineLevel="0" collapsed="false">
      <c r="B86" s="217"/>
      <c r="C86" s="218"/>
      <c r="D86" s="194"/>
      <c r="E86" s="219"/>
      <c r="F86" s="194"/>
      <c r="I86" s="55"/>
      <c r="J86" s="55"/>
      <c r="K86" s="55"/>
      <c r="L86" s="55"/>
      <c r="M86" s="55"/>
      <c r="N86" s="0"/>
      <c r="P86" s="220"/>
      <c r="Q86" s="221"/>
      <c r="R86" s="220"/>
      <c r="S86" s="219"/>
      <c r="T86" s="220"/>
      <c r="U86" s="222"/>
      <c r="W86" s="220"/>
      <c r="X86" s="221"/>
      <c r="Y86" s="220"/>
      <c r="Z86" s="219"/>
      <c r="AA86" s="220"/>
      <c r="AB86" s="222"/>
      <c r="AC86" s="85"/>
      <c r="AD86" s="55"/>
      <c r="AE86" s="217" t="s">
        <v>260</v>
      </c>
      <c r="AF86" s="194"/>
      <c r="AG86" s="194" t="n">
        <v>50</v>
      </c>
      <c r="AH86" s="215" t="n">
        <v>-792</v>
      </c>
      <c r="AI86" s="0"/>
      <c r="AK86" s="55"/>
      <c r="AL86" s="217" t="s">
        <v>260</v>
      </c>
      <c r="AM86" s="194"/>
      <c r="AN86" s="194" t="n">
        <v>50</v>
      </c>
      <c r="AO86" s="215"/>
      <c r="AP86" s="0"/>
      <c r="AR86" s="55"/>
      <c r="AS86" s="217" t="s">
        <v>260</v>
      </c>
      <c r="AT86" s="194"/>
      <c r="AU86" s="194" t="n">
        <v>50</v>
      </c>
      <c r="AV86" s="215"/>
      <c r="AW86" s="0"/>
    </row>
    <row r="87" customFormat="false" ht="21" hidden="false" customHeight="true" outlineLevel="0" collapsed="false">
      <c r="B87" s="217"/>
      <c r="C87" s="218"/>
      <c r="D87" s="194"/>
      <c r="E87" s="219"/>
      <c r="F87" s="194"/>
      <c r="I87" s="217"/>
      <c r="J87" s="218"/>
      <c r="K87" s="194"/>
      <c r="L87" s="219"/>
      <c r="M87" s="194"/>
      <c r="P87" s="220"/>
      <c r="Q87" s="221"/>
      <c r="R87" s="220"/>
      <c r="S87" s="219"/>
      <c r="T87" s="220"/>
      <c r="U87" s="222"/>
      <c r="W87" s="217"/>
      <c r="X87" s="218"/>
      <c r="Y87" s="194"/>
      <c r="Z87" s="194"/>
      <c r="AA87" s="194"/>
      <c r="AB87" s="222"/>
      <c r="AC87" s="85"/>
      <c r="AD87" s="217"/>
      <c r="AE87" s="218"/>
      <c r="AF87" s="194"/>
      <c r="AG87" s="219"/>
      <c r="AH87" s="194"/>
      <c r="AK87" s="217"/>
      <c r="AL87" s="218"/>
      <c r="AM87" s="194"/>
      <c r="AN87" s="219"/>
      <c r="AO87" s="194"/>
      <c r="AR87" s="217"/>
      <c r="AS87" s="218"/>
      <c r="AT87" s="194"/>
      <c r="AU87" s="219"/>
      <c r="AV87" s="194"/>
    </row>
    <row r="88" customFormat="false" ht="21" hidden="false" customHeight="true" outlineLevel="0" collapsed="false">
      <c r="B88" s="217"/>
      <c r="C88" s="218"/>
      <c r="D88" s="194"/>
      <c r="E88" s="219"/>
      <c r="F88" s="194"/>
      <c r="I88" s="217"/>
      <c r="J88" s="218"/>
      <c r="K88" s="194"/>
      <c r="L88" s="219"/>
      <c r="M88" s="194"/>
      <c r="P88" s="220"/>
      <c r="Q88" s="221"/>
      <c r="R88" s="220"/>
      <c r="S88" s="219"/>
      <c r="T88" s="220"/>
      <c r="U88" s="222"/>
      <c r="W88" s="217"/>
      <c r="X88" s="218"/>
      <c r="Y88" s="194"/>
      <c r="Z88" s="194"/>
      <c r="AA88" s="194"/>
      <c r="AD88" s="217"/>
      <c r="AE88" s="225" t="s">
        <v>261</v>
      </c>
      <c r="AF88" s="226" t="n">
        <v>11728</v>
      </c>
      <c r="AG88" s="227" t="s">
        <v>262</v>
      </c>
      <c r="AH88" s="194"/>
      <c r="AK88" s="217"/>
      <c r="AL88" s="225" t="s">
        <v>261</v>
      </c>
      <c r="AM88" s="226" t="s">
        <v>263</v>
      </c>
      <c r="AN88" s="227" t="s">
        <v>262</v>
      </c>
      <c r="AO88" s="194"/>
      <c r="AR88" s="217"/>
      <c r="AS88" s="225" t="s">
        <v>261</v>
      </c>
      <c r="AT88" s="226" t="s">
        <v>263</v>
      </c>
      <c r="AU88" s="227" t="s">
        <v>262</v>
      </c>
      <c r="AV88" s="194"/>
    </row>
    <row r="89" customFormat="false" ht="21" hidden="false" customHeight="true" outlineLevel="0" collapsed="false">
      <c r="B89" s="217"/>
      <c r="C89" s="218"/>
      <c r="D89" s="194"/>
      <c r="E89" s="219"/>
      <c r="F89" s="194"/>
      <c r="I89" s="217"/>
      <c r="J89" s="218"/>
      <c r="K89" s="194"/>
      <c r="L89" s="219"/>
      <c r="M89" s="194"/>
      <c r="P89" s="220"/>
      <c r="Q89" s="221"/>
      <c r="R89" s="220"/>
      <c r="S89" s="219"/>
      <c r="T89" s="220"/>
      <c r="U89" s="222"/>
      <c r="W89" s="217"/>
      <c r="X89" s="218"/>
      <c r="Y89" s="194"/>
      <c r="Z89" s="194"/>
      <c r="AA89" s="194"/>
      <c r="AD89" s="217"/>
      <c r="AE89" s="225" t="s">
        <v>264</v>
      </c>
      <c r="AF89" s="226" t="n">
        <v>0</v>
      </c>
      <c r="AG89" s="227" t="s">
        <v>262</v>
      </c>
      <c r="AH89" s="194"/>
      <c r="AK89" s="217"/>
      <c r="AL89" s="225" t="s">
        <v>264</v>
      </c>
      <c r="AM89" s="226" t="n">
        <v>0</v>
      </c>
      <c r="AN89" s="227" t="s">
        <v>262</v>
      </c>
      <c r="AO89" s="194"/>
      <c r="AR89" s="217"/>
      <c r="AS89" s="225" t="s">
        <v>264</v>
      </c>
      <c r="AT89" s="226" t="n">
        <v>0</v>
      </c>
      <c r="AU89" s="227" t="s">
        <v>262</v>
      </c>
      <c r="AV89" s="194"/>
    </row>
    <row r="90" customFormat="false" ht="21" hidden="false" customHeight="true" outlineLevel="0" collapsed="false">
      <c r="B90" s="217"/>
      <c r="C90" s="218"/>
      <c r="D90" s="194"/>
      <c r="E90" s="219"/>
      <c r="F90" s="194"/>
      <c r="I90" s="217"/>
      <c r="J90" s="218"/>
      <c r="K90" s="194"/>
      <c r="L90" s="219"/>
      <c r="M90" s="194"/>
      <c r="P90" s="220"/>
      <c r="Q90" s="221"/>
      <c r="R90" s="220"/>
      <c r="S90" s="219"/>
      <c r="T90" s="220"/>
      <c r="U90" s="222"/>
      <c r="W90" s="217"/>
      <c r="X90" s="218"/>
      <c r="Y90" s="194"/>
      <c r="Z90" s="194"/>
      <c r="AA90" s="194"/>
      <c r="AB90" s="215"/>
      <c r="AD90" s="217"/>
      <c r="AE90" s="225" t="s">
        <v>265</v>
      </c>
      <c r="AF90" s="228" t="n">
        <f aca="false">AF89-AF88</f>
        <v>-11728</v>
      </c>
      <c r="AG90" s="219"/>
      <c r="AH90" s="194"/>
      <c r="AI90" s="215"/>
      <c r="AK90" s="217"/>
      <c r="AL90" s="225" t="s">
        <v>265</v>
      </c>
      <c r="AM90" s="228" t="e">
        <f aca="false">AM89-AM88</f>
        <v>#VALUE!</v>
      </c>
      <c r="AN90" s="219"/>
      <c r="AO90" s="194"/>
      <c r="AP90" s="215"/>
      <c r="AR90" s="217"/>
      <c r="AS90" s="225" t="s">
        <v>265</v>
      </c>
      <c r="AT90" s="228" t="e">
        <f aca="false">AT89-AT88</f>
        <v>#VALUE!</v>
      </c>
      <c r="AU90" s="219"/>
      <c r="AV90" s="194"/>
      <c r="AW90" s="215"/>
    </row>
    <row r="91" customFormat="false" ht="21" hidden="false" customHeight="true" outlineLevel="0" collapsed="false">
      <c r="B91" s="217"/>
      <c r="C91" s="218"/>
      <c r="D91" s="194"/>
      <c r="E91" s="219"/>
      <c r="F91" s="194"/>
      <c r="I91" s="217"/>
      <c r="J91" s="218"/>
      <c r="K91" s="194"/>
      <c r="L91" s="219"/>
      <c r="M91" s="194"/>
      <c r="P91" s="217"/>
      <c r="Q91" s="218"/>
      <c r="R91" s="194"/>
      <c r="S91" s="219"/>
      <c r="T91" s="194"/>
      <c r="W91" s="217"/>
      <c r="X91" s="218"/>
      <c r="Y91" s="194"/>
      <c r="Z91" s="219"/>
      <c r="AA91" s="194"/>
      <c r="AD91" s="217"/>
      <c r="AE91" s="218"/>
      <c r="AF91" s="194"/>
      <c r="AG91" s="219"/>
      <c r="AH91" s="194"/>
      <c r="AK91" s="217"/>
      <c r="AL91" s="218"/>
      <c r="AM91" s="194"/>
      <c r="AN91" s="219"/>
      <c r="AO91" s="194"/>
      <c r="AR91" s="217"/>
      <c r="AS91" s="218"/>
      <c r="AT91" s="194"/>
      <c r="AU91" s="219"/>
      <c r="AV91" s="194"/>
    </row>
    <row r="92" customFormat="false" ht="21" hidden="false" customHeight="true" outlineLevel="0" collapsed="false">
      <c r="B92" s="217"/>
      <c r="C92" s="218"/>
      <c r="D92" s="194"/>
      <c r="E92" s="219"/>
      <c r="F92" s="194"/>
      <c r="I92" s="217"/>
      <c r="J92" s="218"/>
      <c r="K92" s="194"/>
      <c r="L92" s="219"/>
      <c r="M92" s="194"/>
      <c r="P92" s="217"/>
      <c r="Q92" s="218"/>
      <c r="R92" s="194"/>
      <c r="S92" s="219"/>
      <c r="T92" s="194"/>
      <c r="W92" s="217"/>
      <c r="X92" s="218"/>
      <c r="Y92" s="194"/>
      <c r="Z92" s="219"/>
      <c r="AA92" s="194"/>
      <c r="AD92" s="217"/>
      <c r="AE92" s="218"/>
      <c r="AF92" s="194"/>
      <c r="AG92" s="219"/>
      <c r="AH92" s="194"/>
      <c r="AK92" s="217"/>
      <c r="AL92" s="218"/>
      <c r="AM92" s="194"/>
      <c r="AN92" s="219"/>
      <c r="AO92" s="194"/>
      <c r="AR92" s="217"/>
      <c r="AS92" s="218"/>
      <c r="AT92" s="194"/>
      <c r="AU92" s="219"/>
      <c r="AV92" s="194"/>
    </row>
    <row r="93" customFormat="false" ht="21" hidden="false" customHeight="true" outlineLevel="0" collapsed="false">
      <c r="B93" s="217"/>
      <c r="C93" s="218"/>
      <c r="D93" s="194"/>
      <c r="E93" s="219"/>
      <c r="F93" s="194"/>
      <c r="I93" s="217"/>
      <c r="J93" s="218"/>
      <c r="K93" s="194"/>
      <c r="L93" s="219"/>
      <c r="M93" s="194"/>
      <c r="P93" s="217"/>
      <c r="Q93" s="218"/>
      <c r="R93" s="194"/>
      <c r="S93" s="219"/>
      <c r="T93" s="194"/>
      <c r="W93" s="217"/>
      <c r="X93" s="218"/>
      <c r="Y93" s="194"/>
      <c r="Z93" s="219"/>
      <c r="AA93" s="194"/>
      <c r="AD93" s="217"/>
      <c r="AE93" s="218"/>
      <c r="AF93" s="194"/>
      <c r="AG93" s="219"/>
      <c r="AH93" s="194"/>
      <c r="AK93" s="217"/>
      <c r="AL93" s="218"/>
      <c r="AM93" s="194"/>
      <c r="AN93" s="219"/>
      <c r="AO93" s="194"/>
      <c r="AR93" s="217"/>
      <c r="AS93" s="218"/>
      <c r="AT93" s="194"/>
      <c r="AU93" s="219"/>
      <c r="AV93" s="194"/>
    </row>
    <row r="94" customFormat="false" ht="21" hidden="false" customHeight="true" outlineLevel="0" collapsed="false">
      <c r="A94" s="82"/>
      <c r="B94" s="217"/>
      <c r="C94" s="218"/>
      <c r="D94" s="194"/>
      <c r="E94" s="219"/>
      <c r="F94" s="194"/>
      <c r="H94" s="82"/>
      <c r="I94" s="217"/>
      <c r="J94" s="218"/>
      <c r="K94" s="194"/>
      <c r="L94" s="219"/>
      <c r="M94" s="194"/>
      <c r="O94" s="82"/>
      <c r="P94" s="217"/>
      <c r="Q94" s="218"/>
      <c r="R94" s="194"/>
      <c r="S94" s="219"/>
      <c r="T94" s="194"/>
      <c r="V94" s="82"/>
      <c r="W94" s="217"/>
      <c r="X94" s="218"/>
      <c r="Y94" s="194"/>
      <c r="Z94" s="219"/>
      <c r="AA94" s="194"/>
      <c r="AC94" s="82"/>
      <c r="AD94" s="217"/>
      <c r="AE94" s="218"/>
      <c r="AF94" s="194"/>
      <c r="AG94" s="219"/>
      <c r="AH94" s="194"/>
      <c r="AJ94" s="82"/>
      <c r="AK94" s="217"/>
      <c r="AL94" s="218"/>
      <c r="AM94" s="194"/>
      <c r="AN94" s="219"/>
      <c r="AO94" s="194"/>
      <c r="AQ94" s="82"/>
      <c r="AR94" s="217"/>
      <c r="AS94" s="218"/>
      <c r="AT94" s="194"/>
      <c r="AU94" s="219"/>
      <c r="AV94" s="194"/>
    </row>
    <row r="95" customFormat="false" ht="21" hidden="false" customHeight="true" outlineLevel="0" collapsed="false">
      <c r="A95" s="229"/>
      <c r="B95" s="217"/>
      <c r="C95" s="218"/>
      <c r="D95" s="194"/>
      <c r="E95" s="219"/>
      <c r="F95" s="194"/>
      <c r="H95" s="229"/>
      <c r="I95" s="217"/>
      <c r="J95" s="218"/>
      <c r="K95" s="194"/>
      <c r="L95" s="219"/>
      <c r="M95" s="194"/>
      <c r="O95" s="229"/>
      <c r="P95" s="217"/>
      <c r="Q95" s="218"/>
      <c r="R95" s="194"/>
      <c r="S95" s="219"/>
      <c r="T95" s="194"/>
      <c r="V95" s="229"/>
      <c r="W95" s="217"/>
      <c r="X95" s="218"/>
      <c r="Y95" s="194"/>
      <c r="Z95" s="219"/>
      <c r="AA95" s="194"/>
      <c r="AC95" s="229"/>
      <c r="AD95" s="217"/>
      <c r="AE95" s="218"/>
      <c r="AF95" s="194"/>
      <c r="AG95" s="219"/>
      <c r="AH95" s="194"/>
      <c r="AJ95" s="229"/>
      <c r="AK95" s="217"/>
      <c r="AL95" s="218"/>
      <c r="AM95" s="194"/>
      <c r="AN95" s="219"/>
      <c r="AO95" s="194"/>
      <c r="AQ95" s="229"/>
      <c r="AR95" s="217"/>
      <c r="AS95" s="218"/>
      <c r="AT95" s="194"/>
      <c r="AU95" s="219"/>
      <c r="AV95" s="194"/>
    </row>
    <row r="96" customFormat="false" ht="21" hidden="false" customHeight="true" outlineLevel="0" collapsed="false">
      <c r="A96" s="230"/>
      <c r="B96" s="217"/>
      <c r="C96" s="218"/>
      <c r="D96" s="194"/>
      <c r="E96" s="219"/>
      <c r="F96" s="194"/>
      <c r="H96" s="230"/>
      <c r="I96" s="217"/>
      <c r="J96" s="218"/>
      <c r="K96" s="194"/>
      <c r="L96" s="219"/>
      <c r="M96" s="194"/>
      <c r="O96" s="230"/>
      <c r="P96" s="217"/>
      <c r="Q96" s="218"/>
      <c r="R96" s="194"/>
      <c r="S96" s="219"/>
      <c r="T96" s="194"/>
      <c r="V96" s="230"/>
      <c r="W96" s="217"/>
      <c r="X96" s="218"/>
      <c r="Y96" s="194"/>
      <c r="Z96" s="219"/>
      <c r="AA96" s="194"/>
      <c r="AC96" s="230"/>
      <c r="AD96" s="217"/>
      <c r="AE96" s="218"/>
      <c r="AF96" s="194"/>
      <c r="AG96" s="219"/>
      <c r="AH96" s="194"/>
      <c r="AJ96" s="230"/>
      <c r="AK96" s="217"/>
      <c r="AL96" s="218"/>
      <c r="AM96" s="194"/>
      <c r="AN96" s="219"/>
      <c r="AO96" s="194"/>
      <c r="AQ96" s="230"/>
      <c r="AR96" s="217"/>
      <c r="AS96" s="218"/>
      <c r="AT96" s="194"/>
      <c r="AU96" s="219"/>
      <c r="AV96" s="194"/>
    </row>
    <row r="97" customFormat="false" ht="21" hidden="false" customHeight="true" outlineLevel="0" collapsed="false">
      <c r="B97" s="217"/>
      <c r="C97" s="218"/>
      <c r="D97" s="194"/>
      <c r="E97" s="219"/>
      <c r="F97" s="194"/>
      <c r="I97" s="217"/>
      <c r="J97" s="218"/>
      <c r="K97" s="194"/>
      <c r="L97" s="219"/>
      <c r="M97" s="194"/>
      <c r="P97" s="217"/>
      <c r="Q97" s="218"/>
      <c r="R97" s="194"/>
      <c r="S97" s="219"/>
      <c r="T97" s="194"/>
      <c r="W97" s="217"/>
      <c r="X97" s="218"/>
      <c r="Y97" s="194"/>
      <c r="Z97" s="219"/>
      <c r="AA97" s="194"/>
      <c r="AD97" s="217"/>
      <c r="AE97" s="218"/>
      <c r="AF97" s="194"/>
      <c r="AG97" s="219"/>
      <c r="AH97" s="194"/>
      <c r="AK97" s="217"/>
      <c r="AL97" s="218"/>
      <c r="AM97" s="194"/>
      <c r="AN97" s="219"/>
      <c r="AO97" s="194"/>
      <c r="AR97" s="217"/>
      <c r="AS97" s="218"/>
      <c r="AT97" s="194"/>
      <c r="AU97" s="219"/>
      <c r="AV97" s="194"/>
    </row>
    <row r="98" customFormat="false" ht="21" hidden="false" customHeight="true" outlineLevel="0" collapsed="false">
      <c r="B98" s="217"/>
      <c r="C98" s="218"/>
      <c r="D98" s="194"/>
      <c r="E98" s="219"/>
      <c r="F98" s="194"/>
      <c r="I98" s="217"/>
      <c r="J98" s="218"/>
      <c r="K98" s="194"/>
      <c r="L98" s="219"/>
      <c r="M98" s="194"/>
      <c r="P98" s="217"/>
      <c r="Q98" s="218"/>
      <c r="R98" s="194"/>
      <c r="S98" s="219"/>
      <c r="T98" s="194"/>
      <c r="W98" s="217"/>
      <c r="X98" s="218"/>
      <c r="Y98" s="194"/>
      <c r="Z98" s="219"/>
      <c r="AA98" s="194"/>
      <c r="AD98" s="217"/>
      <c r="AE98" s="218"/>
      <c r="AF98" s="194"/>
      <c r="AG98" s="219"/>
      <c r="AH98" s="194"/>
      <c r="AK98" s="217"/>
      <c r="AL98" s="218"/>
      <c r="AM98" s="194"/>
      <c r="AN98" s="219"/>
      <c r="AO98" s="194"/>
      <c r="AR98" s="217"/>
      <c r="AS98" s="218"/>
      <c r="AT98" s="194"/>
      <c r="AU98" s="219"/>
      <c r="AV98" s="194"/>
    </row>
    <row r="99" customFormat="false" ht="21" hidden="false" customHeight="true" outlineLevel="0" collapsed="false">
      <c r="B99" s="217"/>
      <c r="C99" s="218"/>
      <c r="D99" s="194"/>
      <c r="E99" s="219"/>
      <c r="F99" s="194"/>
      <c r="I99" s="217"/>
      <c r="J99" s="218"/>
      <c r="K99" s="194"/>
      <c r="L99" s="219"/>
      <c r="M99" s="194"/>
      <c r="P99" s="217"/>
      <c r="Q99" s="218"/>
      <c r="R99" s="194"/>
      <c r="S99" s="219"/>
      <c r="T99" s="194"/>
      <c r="W99" s="217"/>
      <c r="X99" s="218"/>
      <c r="Y99" s="194"/>
      <c r="Z99" s="219"/>
      <c r="AA99" s="194"/>
      <c r="AD99" s="217"/>
      <c r="AE99" s="218"/>
      <c r="AF99" s="194"/>
      <c r="AG99" s="219"/>
      <c r="AH99" s="194"/>
      <c r="AK99" s="217"/>
      <c r="AL99" s="218"/>
      <c r="AM99" s="194"/>
      <c r="AN99" s="219"/>
      <c r="AO99" s="194"/>
      <c r="AR99" s="217"/>
      <c r="AS99" s="218"/>
      <c r="AT99" s="194"/>
      <c r="AU99" s="219"/>
      <c r="AV99" s="194"/>
    </row>
    <row r="100" customFormat="false" ht="21" hidden="false" customHeight="true" outlineLevel="0" collapsed="false">
      <c r="B100" s="217"/>
      <c r="C100" s="218"/>
      <c r="D100" s="194"/>
      <c r="E100" s="219"/>
      <c r="F100" s="194"/>
      <c r="I100" s="217"/>
      <c r="J100" s="218"/>
      <c r="K100" s="194"/>
      <c r="L100" s="219"/>
      <c r="M100" s="194"/>
      <c r="P100" s="217"/>
      <c r="Q100" s="218"/>
      <c r="R100" s="194"/>
      <c r="S100" s="219"/>
      <c r="T100" s="194"/>
      <c r="W100" s="217"/>
      <c r="X100" s="218"/>
      <c r="Y100" s="194"/>
      <c r="Z100" s="219"/>
      <c r="AA100" s="194"/>
      <c r="AD100" s="217"/>
      <c r="AE100" s="218"/>
      <c r="AF100" s="194"/>
      <c r="AG100" s="219"/>
      <c r="AH100" s="194"/>
      <c r="AK100" s="217"/>
      <c r="AL100" s="218"/>
      <c r="AM100" s="194"/>
      <c r="AN100" s="219"/>
      <c r="AO100" s="194"/>
      <c r="AR100" s="217"/>
      <c r="AS100" s="218"/>
      <c r="AT100" s="194"/>
      <c r="AU100" s="219"/>
      <c r="AV100" s="194"/>
    </row>
    <row r="101" customFormat="false" ht="21" hidden="false" customHeight="true" outlineLevel="0" collapsed="false">
      <c r="B101" s="217"/>
      <c r="C101" s="218"/>
      <c r="D101" s="194"/>
      <c r="E101" s="219"/>
      <c r="F101" s="194"/>
      <c r="I101" s="217"/>
      <c r="J101" s="218"/>
      <c r="K101" s="194"/>
      <c r="L101" s="219"/>
      <c r="M101" s="194"/>
      <c r="P101" s="217"/>
      <c r="Q101" s="218"/>
      <c r="R101" s="194"/>
      <c r="S101" s="219"/>
      <c r="T101" s="194"/>
      <c r="W101" s="217"/>
      <c r="X101" s="218"/>
      <c r="Y101" s="194"/>
      <c r="Z101" s="219"/>
      <c r="AA101" s="194"/>
      <c r="AD101" s="217"/>
      <c r="AE101" s="218"/>
      <c r="AF101" s="194"/>
      <c r="AG101" s="219"/>
      <c r="AH101" s="194"/>
      <c r="AK101" s="217"/>
      <c r="AL101" s="218"/>
      <c r="AM101" s="194"/>
      <c r="AN101" s="219"/>
      <c r="AO101" s="194"/>
      <c r="AR101" s="217"/>
      <c r="AS101" s="218"/>
      <c r="AT101" s="194"/>
      <c r="AU101" s="219"/>
      <c r="AV101" s="194"/>
    </row>
    <row r="102" customFormat="false" ht="21" hidden="false" customHeight="true" outlineLevel="0" collapsed="false">
      <c r="B102" s="217"/>
      <c r="C102" s="218"/>
      <c r="D102" s="194"/>
      <c r="E102" s="219"/>
      <c r="F102" s="194"/>
      <c r="I102" s="217"/>
      <c r="J102" s="218"/>
      <c r="K102" s="194"/>
      <c r="L102" s="219"/>
      <c r="M102" s="194"/>
      <c r="P102" s="217"/>
      <c r="Q102" s="218"/>
      <c r="R102" s="194"/>
      <c r="S102" s="219"/>
      <c r="T102" s="194"/>
      <c r="W102" s="217"/>
      <c r="X102" s="218"/>
      <c r="Y102" s="194"/>
      <c r="Z102" s="219"/>
      <c r="AA102" s="194"/>
      <c r="AD102" s="217"/>
      <c r="AE102" s="218"/>
      <c r="AF102" s="194"/>
      <c r="AG102" s="219"/>
      <c r="AH102" s="194"/>
      <c r="AK102" s="217"/>
      <c r="AL102" s="218"/>
      <c r="AM102" s="194"/>
      <c r="AN102" s="219"/>
      <c r="AO102" s="194"/>
      <c r="AR102" s="217"/>
      <c r="AS102" s="218"/>
      <c r="AT102" s="194"/>
      <c r="AU102" s="219"/>
      <c r="AV102" s="194"/>
    </row>
    <row r="103" customFormat="false" ht="21" hidden="false" customHeight="true" outlineLevel="0" collapsed="false"/>
    <row r="104" customFormat="false" ht="21" hidden="false" customHeight="true" outlineLevel="0" collapsed="false"/>
    <row r="105" customFormat="false" ht="21" hidden="false" customHeight="true" outlineLevel="0" collapsed="false"/>
    <row r="106" customFormat="false" ht="21" hidden="false" customHeight="true" outlineLevel="0" collapsed="false"/>
    <row r="107" customFormat="false" ht="21" hidden="false" customHeight="true" outlineLevel="0" collapsed="false"/>
    <row r="108" customFormat="false" ht="21" hidden="false" customHeight="true" outlineLevel="0" collapsed="false"/>
    <row r="109" customFormat="false" ht="21" hidden="false" customHeight="true" outlineLevel="0" collapsed="false"/>
    <row r="110" customFormat="false" ht="21" hidden="false" customHeight="true" outlineLevel="0" collapsed="false"/>
    <row r="181" customFormat="false" ht="19.15" hidden="false" customHeight="true" outlineLevel="0" collapsed="false"/>
    <row r="182" customFormat="false" ht="19.15" hidden="false" customHeight="true" outlineLevel="0" collapsed="false"/>
    <row r="183" customFormat="false" ht="19.15" hidden="false" customHeight="true" outlineLevel="0" collapsed="false"/>
  </sheetData>
  <mergeCells count="182">
    <mergeCell ref="B1:G1"/>
    <mergeCell ref="I1:N1"/>
    <mergeCell ref="P1:U1"/>
    <mergeCell ref="W1:AB1"/>
    <mergeCell ref="AD1:AI1"/>
    <mergeCell ref="AK1:AP1"/>
    <mergeCell ref="AR1:AW1"/>
    <mergeCell ref="B35:C35"/>
    <mergeCell ref="I35:J35"/>
    <mergeCell ref="P35:Q35"/>
    <mergeCell ref="W35:X35"/>
    <mergeCell ref="AD35:AE35"/>
    <mergeCell ref="AK35:AL35"/>
    <mergeCell ref="AR35:AS35"/>
    <mergeCell ref="B37:G37"/>
    <mergeCell ref="I37:N37"/>
    <mergeCell ref="P37:U37"/>
    <mergeCell ref="W37:AB37"/>
    <mergeCell ref="AD37:AI37"/>
    <mergeCell ref="AK37:AP37"/>
    <mergeCell ref="AR37:AW37"/>
    <mergeCell ref="B50:C50"/>
    <mergeCell ref="I50:J50"/>
    <mergeCell ref="P50:Q50"/>
    <mergeCell ref="W50:X50"/>
    <mergeCell ref="AD50:AE50"/>
    <mergeCell ref="AK50:AL50"/>
    <mergeCell ref="AR50:AS50"/>
    <mergeCell ref="B52:G52"/>
    <mergeCell ref="I52:N52"/>
    <mergeCell ref="P52:U52"/>
    <mergeCell ref="W52:AB52"/>
    <mergeCell ref="AD52:AI52"/>
    <mergeCell ref="AK52:AP52"/>
    <mergeCell ref="AR52:AW52"/>
    <mergeCell ref="B63:C63"/>
    <mergeCell ref="I63:J63"/>
    <mergeCell ref="P63:Q63"/>
    <mergeCell ref="W63:X63"/>
    <mergeCell ref="AD63:AE63"/>
    <mergeCell ref="AK63:AL63"/>
    <mergeCell ref="AR63:AS63"/>
    <mergeCell ref="B65:G65"/>
    <mergeCell ref="I65:N65"/>
    <mergeCell ref="P65:U65"/>
    <mergeCell ref="W65:AB65"/>
    <mergeCell ref="AD65:AI65"/>
    <mergeCell ref="AK65:AP65"/>
    <mergeCell ref="AR65:AW65"/>
    <mergeCell ref="B66:C66"/>
    <mergeCell ref="E66:F66"/>
    <mergeCell ref="I66:J66"/>
    <mergeCell ref="L66:M66"/>
    <mergeCell ref="P66:Q66"/>
    <mergeCell ref="S66:T66"/>
    <mergeCell ref="W66:X66"/>
    <mergeCell ref="Z66:AA66"/>
    <mergeCell ref="AD66:AE66"/>
    <mergeCell ref="AG66:AH66"/>
    <mergeCell ref="AK66:AL66"/>
    <mergeCell ref="AN66:AO66"/>
    <mergeCell ref="AR66:AS66"/>
    <mergeCell ref="AU66:AV66"/>
    <mergeCell ref="B67:C67"/>
    <mergeCell ref="E67:F67"/>
    <mergeCell ref="I67:J67"/>
    <mergeCell ref="L67:M67"/>
    <mergeCell ref="P67:Q67"/>
    <mergeCell ref="S67:T67"/>
    <mergeCell ref="W67:X67"/>
    <mergeCell ref="Z67:AA67"/>
    <mergeCell ref="AD67:AE67"/>
    <mergeCell ref="AG67:AH67"/>
    <mergeCell ref="AK67:AL67"/>
    <mergeCell ref="AN67:AO67"/>
    <mergeCell ref="AR67:AS67"/>
    <mergeCell ref="AU67:AV67"/>
    <mergeCell ref="B68:C68"/>
    <mergeCell ref="E68:F68"/>
    <mergeCell ref="I68:J68"/>
    <mergeCell ref="L68:M68"/>
    <mergeCell ref="P68:Q68"/>
    <mergeCell ref="S68:T68"/>
    <mergeCell ref="W68:X68"/>
    <mergeCell ref="Z68:AA68"/>
    <mergeCell ref="AD68:AE68"/>
    <mergeCell ref="AG68:AH68"/>
    <mergeCell ref="AK68:AL68"/>
    <mergeCell ref="AN68:AO68"/>
    <mergeCell ref="AR68:AS68"/>
    <mergeCell ref="AU68:AV68"/>
    <mergeCell ref="B69:C69"/>
    <mergeCell ref="E69:F69"/>
    <mergeCell ref="I69:J69"/>
    <mergeCell ref="L69:M69"/>
    <mergeCell ref="P69:Q69"/>
    <mergeCell ref="S69:T69"/>
    <mergeCell ref="W69:X69"/>
    <mergeCell ref="Z69:AA69"/>
    <mergeCell ref="AD69:AE69"/>
    <mergeCell ref="AG69:AH69"/>
    <mergeCell ref="AK69:AL69"/>
    <mergeCell ref="AN69:AO69"/>
    <mergeCell ref="AR69:AS69"/>
    <mergeCell ref="AU69:AV69"/>
    <mergeCell ref="B70:C70"/>
    <mergeCell ref="E70:F70"/>
    <mergeCell ref="I70:J70"/>
    <mergeCell ref="L70:M70"/>
    <mergeCell ref="P70:Q70"/>
    <mergeCell ref="S70:T70"/>
    <mergeCell ref="W70:X70"/>
    <mergeCell ref="Z70:AA70"/>
    <mergeCell ref="AD70:AE70"/>
    <mergeCell ref="AG70:AH70"/>
    <mergeCell ref="AK70:AL70"/>
    <mergeCell ref="AN70:AO70"/>
    <mergeCell ref="AR70:AS70"/>
    <mergeCell ref="AU70:AV70"/>
    <mergeCell ref="B71:C71"/>
    <mergeCell ref="I71:J71"/>
    <mergeCell ref="P71:Q71"/>
    <mergeCell ref="W71:X71"/>
    <mergeCell ref="AD71:AE71"/>
    <mergeCell ref="AK71:AL71"/>
    <mergeCell ref="AR71:AS71"/>
    <mergeCell ref="B72:C72"/>
    <mergeCell ref="I72:J72"/>
    <mergeCell ref="P72:Q72"/>
    <mergeCell ref="W72:X72"/>
    <mergeCell ref="AD72:AE72"/>
    <mergeCell ref="AK72:AL72"/>
    <mergeCell ref="AR72:AS72"/>
    <mergeCell ref="B73:C73"/>
    <mergeCell ref="F73:G73"/>
    <mergeCell ref="I73:J73"/>
    <mergeCell ref="M73:N73"/>
    <mergeCell ref="P73:Q73"/>
    <mergeCell ref="T73:U73"/>
    <mergeCell ref="W73:X73"/>
    <mergeCell ref="AA73:AB73"/>
    <mergeCell ref="AD73:AE73"/>
    <mergeCell ref="AH73:AI73"/>
    <mergeCell ref="AK73:AL73"/>
    <mergeCell ref="AO73:AP73"/>
    <mergeCell ref="AR73:AS73"/>
    <mergeCell ref="AV73:AW73"/>
    <mergeCell ref="B75:C75"/>
    <mergeCell ref="I75:J75"/>
    <mergeCell ref="P75:Q75"/>
    <mergeCell ref="W75:X75"/>
    <mergeCell ref="AD75:AE75"/>
    <mergeCell ref="AK75:AL75"/>
    <mergeCell ref="AR75:AS75"/>
    <mergeCell ref="B76:C76"/>
    <mergeCell ref="I76:J76"/>
    <mergeCell ref="P76:Q76"/>
    <mergeCell ref="W76:X76"/>
    <mergeCell ref="AD76:AE76"/>
    <mergeCell ref="AK76:AL76"/>
    <mergeCell ref="AR76:AS76"/>
    <mergeCell ref="B77:C77"/>
    <mergeCell ref="I77:J77"/>
    <mergeCell ref="P77:Q77"/>
    <mergeCell ref="W77:X77"/>
    <mergeCell ref="AD77:AE77"/>
    <mergeCell ref="AK77:AL77"/>
    <mergeCell ref="AR77:AS77"/>
    <mergeCell ref="B78:C78"/>
    <mergeCell ref="I78:J78"/>
    <mergeCell ref="P78:Q78"/>
    <mergeCell ref="W78:X78"/>
    <mergeCell ref="AD78:AE78"/>
    <mergeCell ref="AK78:AL78"/>
    <mergeCell ref="AR78:AS78"/>
    <mergeCell ref="B79:C79"/>
    <mergeCell ref="I79:J79"/>
    <mergeCell ref="P79:Q79"/>
    <mergeCell ref="W79:X79"/>
    <mergeCell ref="AD79:AE79"/>
    <mergeCell ref="AK79:AL79"/>
    <mergeCell ref="AR79:AS79"/>
  </mergeCells>
  <conditionalFormatting sqref="C71:C72 J71:J72 Q71:Q72 X71:X72 AE71:AE72 AL71:AL72 AS71:AS72">
    <cfRule type="cellIs" priority="2" operator="equal" aboveAverage="0" equalAverage="0" bottom="0" percent="0" rank="0" text="" dxfId="0">
      <formula>"Sat"</formula>
    </cfRule>
    <cfRule type="cellIs" priority="3" operator="equal" aboveAverage="0" equalAverage="0" bottom="0" percent="0" rank="0" text="" dxfId="1">
      <formula>"Sun"</formula>
    </cfRule>
  </conditionalFormatting>
  <conditionalFormatting sqref="C54:C58 J54:J58 Q54:Q58 X54:X58 AE54:AE58 AL54:AL58 AS54:AS58">
    <cfRule type="cellIs" priority="4" operator="equal" aboveAverage="0" equalAverage="0" bottom="0" percent="0" rank="0" text="" dxfId="2">
      <formula>"Sat"</formula>
    </cfRule>
    <cfRule type="cellIs" priority="5" operator="equal" aboveAverage="0" equalAverage="0" bottom="0" percent="0" rank="0" text="" dxfId="3">
      <formula>"Sun"</formula>
    </cfRule>
    <cfRule type="cellIs" priority="6" operator="equal" aboveAverage="0" equalAverage="0" bottom="0" percent="0" rank="0" text="" dxfId="4">
      <formula>"Fri"</formula>
    </cfRule>
  </conditionalFormatting>
  <conditionalFormatting sqref="C43:C49 J43:J49 Q43:Q49 X43:X49 AE43:AE49 AL43:AL49 AS43:AS49">
    <cfRule type="cellIs" priority="7" operator="equal" aboveAverage="0" equalAverage="0" bottom="0" percent="0" rank="0" text="" dxfId="5">
      <formula>"Sat"</formula>
    </cfRule>
    <cfRule type="cellIs" priority="8" operator="equal" aboveAverage="0" equalAverage="0" bottom="0" percent="0" rank="0" text="" dxfId="6">
      <formula>"Sun"</formula>
    </cfRule>
    <cfRule type="cellIs" priority="9" operator="equal" aboveAverage="0" equalAverage="0" bottom="0" percent="0" rank="0" text="" dxfId="7">
      <formula>"Fri"</formula>
    </cfRule>
  </conditionalFormatting>
  <conditionalFormatting sqref="C52 J52 Q52 X52 AE52 AL52 AS52">
    <cfRule type="cellIs" priority="10" operator="equal" aboveAverage="0" equalAverage="0" bottom="0" percent="0" rank="0" text="" dxfId="8">
      <formula>"Sat"</formula>
    </cfRule>
    <cfRule type="cellIs" priority="11" operator="equal" aboveAverage="0" equalAverage="0" bottom="0" percent="0" rank="0" text="" dxfId="9">
      <formula>"Sun"</formula>
    </cfRule>
  </conditionalFormatting>
  <conditionalFormatting sqref="C80 J80 Q80 X80 AE80 AL80 AS80">
    <cfRule type="cellIs" priority="12" operator="equal" aboveAverage="0" equalAverage="0" bottom="0" percent="0" rank="0" text="" dxfId="10">
      <formula>"Sat"</formula>
    </cfRule>
    <cfRule type="cellIs" priority="13" operator="equal" aboveAverage="0" equalAverage="0" bottom="0" percent="0" rank="0" text="" dxfId="11">
      <formula>"Sun"</formula>
    </cfRule>
  </conditionalFormatting>
  <conditionalFormatting sqref="C59 J59 Q59 X59 AE59 AL59 AS59">
    <cfRule type="cellIs" priority="14" operator="equal" aboveAverage="0" equalAverage="0" bottom="0" percent="0" rank="0" text="" dxfId="12">
      <formula>"Sat"</formula>
    </cfRule>
    <cfRule type="cellIs" priority="15" operator="equal" aboveAverage="0" equalAverage="0" bottom="0" percent="0" rank="0" text="" dxfId="13">
      <formula>"Sun"</formula>
    </cfRule>
    <cfRule type="cellIs" priority="16" operator="equal" aboveAverage="0" equalAverage="0" bottom="0" percent="0" rank="0" text="" dxfId="14">
      <formula>"Fri"</formula>
    </cfRule>
  </conditionalFormatting>
  <conditionalFormatting sqref="B54:B62 B4:B34 I54:I62 I39:I49 I4:I34 P54:P62 P39:P49 P4:P34 B39:B49 W54:W62 W4:W34 AD39:AD49 AD4:AD34 AK39:AK49 AK4:AK34 W39:W49 AR39:AR49 AR4:AR34 AR54:AR62 AK54:AK62 AD54:AD62">
    <cfRule type="cellIs" priority="17" operator="lessThan" aboveAverage="0" equalAverage="0" bottom="0" percent="0" rank="0" text="" dxfId="15">
      <formula>TODAY()</formula>
    </cfRule>
    <cfRule type="cellIs" priority="18" operator="equal" aboveAverage="0" equalAverage="0" bottom="0" percent="0" rank="0" text="" dxfId="16">
      <formula>TODAY()</formula>
    </cfRule>
    <cfRule type="cellIs" priority="19" operator="greaterThan" aboveAverage="0" equalAverage="0" bottom="0" percent="0" rank="0" text="" dxfId="17">
      <formula>TODAY()</formula>
    </cfRule>
  </conditionalFormatting>
  <conditionalFormatting sqref="C103:C65503 J103:J65503 Q103:Q65503 X103:X65503 AE103:AE65503 AL103:AL65503 AS103:AS65503">
    <cfRule type="cellIs" priority="20" operator="equal" aboveAverage="0" equalAverage="0" bottom="0" percent="0" rank="0" text="" dxfId="18">
      <formula>"Sat"</formula>
    </cfRule>
    <cfRule type="cellIs" priority="21" operator="equal" aboveAverage="0" equalAverage="0" bottom="0" percent="0" rank="0" text="" dxfId="19">
      <formula>"Sun"</formula>
    </cfRule>
    <cfRule type="cellIs" priority="22" operator="equal" aboveAverage="0" equalAverage="0" bottom="0" percent="0" rank="0" text="" dxfId="20">
      <formula>0</formula>
    </cfRule>
  </conditionalFormatting>
  <conditionalFormatting sqref="C39:C42 J39:J42 Q39:Q42 X39:X42 AE39:AE42 AL39:AL42 AS39:AS42">
    <cfRule type="cellIs" priority="23" operator="equal" aboveAverage="0" equalAverage="0" bottom="0" percent="0" rank="0" text="" dxfId="21">
      <formula>"Sat"</formula>
    </cfRule>
    <cfRule type="cellIs" priority="24" operator="equal" aboveAverage="0" equalAverage="0" bottom="0" percent="0" rank="0" text="" dxfId="22">
      <formula>"Sun"</formula>
    </cfRule>
    <cfRule type="cellIs" priority="25" operator="equal" aboveAverage="0" equalAverage="0" bottom="0" percent="0" rank="0" text="" dxfId="23">
      <formula>"Fri"</formula>
    </cfRule>
  </conditionalFormatting>
  <conditionalFormatting sqref="C63:C64 C3 C35:C36 C50:C51 C38 C53 J63:J64 J3 J35:J36 J50:J51 J38 J53 Q63:Q64 Q3 Q35:Q36 Q50:Q51 Q38 Q53 X63:X64 X3 X35:X36 X50:X51 X38 X53 AE63:AE64 AE3 AE35:AE36 AE50:AE51 AE38 AE53 AL63:AL64 AL3 AL35:AL36 AL50:AL51 AL38 AL53 AS63:AS64 AS3 AS35:AS36 AS50:AS51 AS38 AS53">
    <cfRule type="cellIs" priority="26" operator="equal" aboveAverage="0" equalAverage="0" bottom="0" percent="0" rank="0" text="" dxfId="24">
      <formula>"Sat"</formula>
    </cfRule>
    <cfRule type="cellIs" priority="27" operator="equal" aboveAverage="0" equalAverage="0" bottom="0" percent="0" rank="0" text="" dxfId="25">
      <formula>"Sun"</formula>
    </cfRule>
  </conditionalFormatting>
  <conditionalFormatting sqref="C9 C16 C23 C30 J9 J16 J23 J30 Q9 Q16 Q23 Q30 X9 X16 X23 X30 AE9 AE16 AE23 AE30 AL9 AL16 AL23 AL30 AS9 AS16 AS23 AS30">
    <cfRule type="cellIs" priority="28" operator="equal" aboveAverage="0" equalAverage="0" bottom="0" percent="0" rank="0" text="" dxfId="26">
      <formula>"Sat"</formula>
    </cfRule>
    <cfRule type="cellIs" priority="29" operator="equal" aboveAverage="0" equalAverage="0" bottom="0" percent="0" rank="0" text="" dxfId="27">
      <formula>"Sun"</formula>
    </cfRule>
    <cfRule type="cellIs" priority="30" operator="equal" aboveAverage="0" equalAverage="0" bottom="0" percent="0" rank="0" text="" dxfId="28">
      <formula>"Fri"</formula>
    </cfRule>
  </conditionalFormatting>
  <conditionalFormatting sqref="C2 J2 Q2 X2 AE2 AL2 AS2">
    <cfRule type="cellIs" priority="31" operator="equal" aboveAverage="0" equalAverage="0" bottom="0" percent="0" rank="0" text="" dxfId="29">
      <formula>"Sat"</formula>
    </cfRule>
    <cfRule type="cellIs" priority="32" operator="equal" aboveAverage="0" equalAverage="0" bottom="0" percent="0" rank="0" text="" dxfId="30">
      <formula>"Sun"</formula>
    </cfRule>
  </conditionalFormatting>
  <conditionalFormatting sqref="B66:C66 I66:J66 P66:Q66 AD66:AE66 W66:X66 AK66:AL66 AR66:AS66">
    <cfRule type="cellIs" priority="33" operator="equal" aboveAverage="0" equalAverage="0" bottom="0" percent="0" rank="0" text="" dxfId="31">
      <formula>"BDG sld ini"</formula>
    </cfRule>
  </conditionalFormatting>
  <conditionalFormatting sqref="C65 J65 Q65 X65 AE65 AL65 AS65">
    <cfRule type="cellIs" priority="34" operator="equal" aboveAverage="0" equalAverage="0" bottom="0" percent="0" rank="0" text="" dxfId="32">
      <formula>"Sat"</formula>
    </cfRule>
    <cfRule type="cellIs" priority="35" operator="equal" aboveAverage="0" equalAverage="0" bottom="0" percent="0" rank="0" text="" dxfId="33">
      <formula>"Sun"</formula>
    </cfRule>
  </conditionalFormatting>
  <conditionalFormatting sqref="C37 J37 Q37 X37 AE37 AL37 AS37">
    <cfRule type="cellIs" priority="36" operator="equal" aboveAverage="0" equalAverage="0" bottom="0" percent="0" rank="0" text="" dxfId="34">
      <formula>"Sat"</formula>
    </cfRule>
    <cfRule type="cellIs" priority="37" operator="equal" aboveAverage="0" equalAverage="0" bottom="0" percent="0" rank="0" text="" dxfId="35">
      <formula>"Sun"</formula>
    </cfRule>
  </conditionalFormatting>
  <conditionalFormatting sqref="B1 I1 P1 AK1 AD1 W1 AR1">
    <cfRule type="expression" priority="38" aboveAverage="0" equalAverage="0" bottom="0" percent="0" rank="0" text="" dxfId="36">
      <formula>AND(TODAY()&gt;=MIN(#ref!),TODAY()&lt;=MAX(#ref!))</formula>
    </cfRule>
    <cfRule type="expression" priority="39" aboveAverage="0" equalAverage="0" bottom="0" percent="0" rank="0" text="" dxfId="37">
      <formula>TODAY()&gt;MAX(#ref!)</formula>
    </cfRule>
  </conditionalFormatting>
  <conditionalFormatting sqref="C4:C34 J60:J62 Q60:Q62 Q4:Q34 C60:C62 X60:X62 X4:X34 J4:J34 AE60:AE62 AE4:AE34 AL60:AL62 AL4:AL34 AS60:AS62 AS4:AS34">
    <cfRule type="cellIs" priority="40" operator="equal" aboveAverage="0" equalAverage="0" bottom="0" percent="0" rank="0" text="" dxfId="38">
      <formula>"Sat"</formula>
    </cfRule>
    <cfRule type="cellIs" priority="41" operator="equal" aboveAverage="0" equalAverage="0" bottom="0" percent="0" rank="0" text="" dxfId="39">
      <formula>"Sun"</formula>
    </cfRule>
    <cfRule type="cellIs" priority="42" operator="equal" aboveAverage="0" equalAverage="0" bottom="0" percent="0" rank="0" text="" dxfId="40">
      <formula>"Fri"</formula>
    </cfRule>
  </conditionalFormatting>
  <conditionalFormatting sqref="C74 J74 Q74 X74 AE74 AL74 AS74">
    <cfRule type="cellIs" priority="43" operator="equal" aboveAverage="0" equalAverage="0" bottom="0" percent="0" rank="0" text="" dxfId="41">
      <formula>"Sat"</formula>
    </cfRule>
    <cfRule type="cellIs" priority="44" operator="equal" aboveAverage="0" equalAverage="0" bottom="0" percent="0" rank="0" text="" dxfId="42">
      <formula>"Sun"</formula>
    </cfRule>
  </conditionalFormatting>
  <conditionalFormatting sqref="C73 J73 Q73 X73 AE73 AL73 AS73">
    <cfRule type="cellIs" priority="45" operator="equal" aboveAverage="0" equalAverage="0" bottom="0" percent="0" rank="0" text="" dxfId="43">
      <formula>"Sat"</formula>
    </cfRule>
    <cfRule type="cellIs" priority="46" operator="equal" aboveAverage="0" equalAverage="0" bottom="0" percent="0" rank="0" text="" dxfId="44">
      <formula>"Sun"</formula>
    </cfRule>
  </conditionalFormatting>
  <dataValidations count="2">
    <dataValidation allowBlank="true" errorStyle="stop" operator="equal" showDropDown="false" showErrorMessage="true" showInputMessage="true" sqref="B66:C66 I66:J66 P66:Q66 X66 AE66 AL66 AS66" type="list">
      <formula1>"BDG sld ini,ACT sld ini"</formula1>
      <formula2>0</formula2>
    </dataValidation>
    <dataValidation allowBlank="true" errorStyle="stop" operator="equal" showDropDown="false" showErrorMessage="true" showInputMessage="true" sqref="W66 AD66 AK66 AR66" type="list">
      <formula1>"BDG sld ini,ACT sld ini,SLD ini FIXED val"</formula1>
      <formula2>0</formula2>
    </dataValidation>
  </dataValidations>
  <printOptions headings="false" gridLines="false" gridLinesSet="true" horizontalCentered="false" verticalCentered="false"/>
  <pageMargins left="0.240277777777778" right="0.240277777777778" top="0.25" bottom="0.259722222222222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33399"/>
    <pageSetUpPr fitToPage="false"/>
  </sheetPr>
  <dimension ref="A1:AN27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17" ySplit="0" topLeftCell="V1" activePane="topRight" state="frozen"/>
      <selection pane="topLeft" activeCell="B1" activeCellId="0" sqref="B1"/>
      <selection pane="topRight" activeCell="K11" activeCellId="0" sqref="K11"/>
    </sheetView>
  </sheetViews>
  <sheetFormatPr defaultColWidth="9.171875" defaultRowHeight="12.8" zeroHeight="false" outlineLevelRow="0" outlineLevelCol="0"/>
  <cols>
    <col collapsed="false" customWidth="true" hidden="false" outlineLevel="0" max="1" min="1" style="63" width="1.33"/>
    <col collapsed="false" customWidth="true" hidden="false" outlineLevel="0" max="2" min="2" style="63" width="9.33"/>
    <col collapsed="false" customWidth="true" hidden="false" outlineLevel="0" max="3" min="3" style="231" width="11.84"/>
    <col collapsed="false" customWidth="true" hidden="false" outlineLevel="0" max="4" min="4" style="63" width="6.28"/>
    <col collapsed="false" customWidth="true" hidden="false" outlineLevel="0" max="5" min="5" style="231" width="6.56"/>
    <col collapsed="false" customWidth="true" hidden="false" outlineLevel="0" max="6" min="6" style="231" width="10.61"/>
    <col collapsed="false" customWidth="true" hidden="true" outlineLevel="0" max="7" min="7" style="63" width="10.61"/>
    <col collapsed="false" customWidth="true" hidden="true" outlineLevel="0" max="8" min="8" style="63" width="7.15"/>
    <col collapsed="false" customWidth="true" hidden="true" outlineLevel="0" max="9" min="9" style="63" width="0.89"/>
    <col collapsed="false" customWidth="true" hidden="false" outlineLevel="0" max="10" min="10" style="63" width="8.44"/>
    <col collapsed="false" customWidth="true" hidden="false" outlineLevel="0" max="11" min="11" style="232" width="11.52"/>
    <col collapsed="false" customWidth="true" hidden="false" outlineLevel="0" max="12" min="12" style="63" width="0.83"/>
    <col collapsed="false" customWidth="true" hidden="false" outlineLevel="0" max="13" min="13" style="233" width="13.36"/>
    <col collapsed="false" customWidth="true" hidden="false" outlineLevel="0" max="14" min="14" style="63" width="1.97"/>
    <col collapsed="false" customWidth="true" hidden="false" outlineLevel="0" max="15" min="15" style="234" width="4.63"/>
    <col collapsed="false" customWidth="true" hidden="false" outlineLevel="0" max="16" min="16" style="235" width="10.33"/>
    <col collapsed="false" customWidth="true" hidden="false" outlineLevel="0" max="17" min="17" style="235" width="10.28"/>
    <col collapsed="false" customWidth="false" hidden="false" outlineLevel="0" max="18" min="18" style="63" width="9.16"/>
    <col collapsed="false" customWidth="true" hidden="false" outlineLevel="0" max="30" min="19" style="235" width="10.28"/>
    <col collapsed="false" customWidth="false" hidden="false" outlineLevel="0" max="1024" min="32" style="63" width="9.16"/>
  </cols>
  <sheetData>
    <row r="1" s="236" customFormat="true" ht="12.8" hidden="false" customHeight="true" outlineLevel="0" collapsed="false">
      <c r="B1" s="237"/>
      <c r="C1" s="237"/>
      <c r="D1" s="237"/>
      <c r="E1" s="237"/>
      <c r="F1" s="237"/>
      <c r="G1" s="237"/>
      <c r="H1" s="237"/>
      <c r="I1" s="237"/>
      <c r="J1" s="237"/>
      <c r="K1" s="238"/>
      <c r="M1" s="233"/>
      <c r="O1" s="239"/>
      <c r="P1" s="240"/>
      <c r="Q1" s="240"/>
      <c r="R1" s="241" t="s">
        <v>266</v>
      </c>
      <c r="S1" s="242" t="s">
        <v>267</v>
      </c>
      <c r="T1" s="242" t="s">
        <v>268</v>
      </c>
      <c r="U1" s="242" t="s">
        <v>269</v>
      </c>
      <c r="V1" s="242" t="s">
        <v>270</v>
      </c>
      <c r="W1" s="242" t="s">
        <v>271</v>
      </c>
      <c r="X1" s="242" t="s">
        <v>272</v>
      </c>
      <c r="Y1" s="242" t="s">
        <v>273</v>
      </c>
      <c r="Z1" s="242" t="s">
        <v>274</v>
      </c>
      <c r="AA1" s="242" t="s">
        <v>275</v>
      </c>
      <c r="AB1" s="242" t="s">
        <v>276</v>
      </c>
      <c r="AC1" s="242" t="s">
        <v>277</v>
      </c>
      <c r="AD1" s="242" t="s">
        <v>278</v>
      </c>
      <c r="AE1" s="0"/>
    </row>
    <row r="2" s="243" customFormat="true" ht="11.8" hidden="false" customHeight="true" outlineLevel="0" collapsed="false">
      <c r="B2" s="244" t="s">
        <v>279</v>
      </c>
      <c r="C2" s="245" t="s">
        <v>280</v>
      </c>
      <c r="D2" s="245" t="s">
        <v>281</v>
      </c>
      <c r="E2" s="245" t="s">
        <v>282</v>
      </c>
      <c r="F2" s="245" t="s">
        <v>283</v>
      </c>
      <c r="G2" s="245" t="s">
        <v>284</v>
      </c>
      <c r="H2" s="245" t="s">
        <v>285</v>
      </c>
      <c r="I2" s="245" t="s">
        <v>286</v>
      </c>
      <c r="J2" s="245" t="s">
        <v>287</v>
      </c>
      <c r="K2" s="246"/>
      <c r="M2" s="233" t="s">
        <v>288</v>
      </c>
      <c r="O2" s="247" t="s">
        <v>12</v>
      </c>
      <c r="P2" s="248" t="s">
        <v>289</v>
      </c>
      <c r="Q2" s="248" t="s">
        <v>290</v>
      </c>
      <c r="R2" s="249" t="s">
        <v>256</v>
      </c>
      <c r="S2" s="250" t="n">
        <v>1</v>
      </c>
      <c r="T2" s="250" t="n">
        <v>2</v>
      </c>
      <c r="U2" s="250" t="n">
        <v>3</v>
      </c>
      <c r="V2" s="250" t="n">
        <v>4</v>
      </c>
      <c r="W2" s="250" t="n">
        <v>5</v>
      </c>
      <c r="X2" s="250" t="n">
        <v>6</v>
      </c>
      <c r="Y2" s="250" t="n">
        <v>7</v>
      </c>
      <c r="Z2" s="250" t="n">
        <v>8</v>
      </c>
      <c r="AA2" s="250" t="n">
        <v>9</v>
      </c>
      <c r="AB2" s="250" t="n">
        <v>10</v>
      </c>
      <c r="AC2" s="250" t="n">
        <v>11</v>
      </c>
      <c r="AD2" s="250" t="n">
        <v>12</v>
      </c>
      <c r="AE2" s="0"/>
    </row>
    <row r="3" customFormat="false" ht="12.8" hidden="false" customHeight="false" outlineLevel="0" collapsed="false">
      <c r="B3" s="251" t="s">
        <v>291</v>
      </c>
      <c r="C3" s="252" t="s">
        <v>292</v>
      </c>
      <c r="D3" s="253" t="s">
        <v>291</v>
      </c>
      <c r="E3" s="254" t="s">
        <v>293</v>
      </c>
      <c r="F3" s="252" t="n">
        <f aca="false">ROUND(SUMIF('LT records'!$E$3:$E$1001,$B3,'LT records'!$H$3:$H$1001)+G3,2)</f>
        <v>15989.28</v>
      </c>
      <c r="G3" s="255" t="n">
        <f aca="false">SUMIF('LT records'!$E$3:$E$1001,$B3,'LT records'!$I$3:$I$1001)</f>
        <v>1289.28</v>
      </c>
      <c r="H3" s="255" t="n">
        <f aca="false">SUMIF('LT records'!$E$3:$E$1001,$B3,'LT records'!$K$3:$K$1001)</f>
        <v>0</v>
      </c>
      <c r="I3" s="256" t="str">
        <f aca="false">IF(J3="","0-no date",YEAR(J3)&amp;"-"&amp;IF(MONTH(J3)&lt;10,"0"&amp;MONTH(J3),MONTH(J3)))</f>
        <v>2024-01</v>
      </c>
      <c r="J3" s="257" t="n">
        <v>45295</v>
      </c>
      <c r="K3" s="258" t="str">
        <f aca="false">IF(J3=MIN($J$3:$J$22),"***","")</f>
        <v/>
      </c>
      <c r="L3" s="259"/>
      <c r="M3" s="0"/>
      <c r="O3" s="260" t="n">
        <v>2012</v>
      </c>
      <c r="P3" s="261" t="n">
        <f aca="false">SUMIF('LT records'!$C$3:$C$1001,$O3,'LT records'!$H$3:$H$1001)+SUMIF('LT records'!$C$3:$C$1001,$O3,'LT records'!$I$3:$I$1001)</f>
        <v>6033.97</v>
      </c>
      <c r="Q3" s="261" t="n">
        <f aca="false">P3/3</f>
        <v>2011.32333333333</v>
      </c>
      <c r="R3" s="262" t="n">
        <f aca="false">SUMIF('LT records'!$D$3:$D$1001,$O3&amp;"-"&amp;R$2,'LT records'!$H$3:$H$1001)+SUMIF('LT records'!$D$3:$D$1001,$O3&amp;"-"&amp;R$2,'LT records'!$I$3:$I$1001)</f>
        <v>0</v>
      </c>
      <c r="S3" s="263" t="n">
        <f aca="false">SUMIF('LT records'!$D$3:$D$1001,$O3&amp;"-"&amp;S$2,'LT records'!$H$3:$H$1001)+SUMIF('LT records'!$D$3:$D$1001,$O3&amp;"-"&amp;S$2,'LT records'!$I$3:$I$1001)</f>
        <v>0</v>
      </c>
      <c r="T3" s="263" t="n">
        <f aca="false">SUMIF('LT records'!$D$3:$D$1001,$O3&amp;"-"&amp;T$2,'LT records'!$H$3:$H$1001)+SUMIF('LT records'!$D$3:$D$1001,$O3&amp;"-"&amp;T$2,'LT records'!$I$3:$I$1001)</f>
        <v>0</v>
      </c>
      <c r="U3" s="263" t="n">
        <f aca="false">SUMIF('LT records'!$D$3:$D$1001,$O3&amp;"-"&amp;U$2,'LT records'!$H$3:$H$1001)+SUMIF('LT records'!$D$3:$D$1001,$O3&amp;"-"&amp;U$2,'LT records'!$I$3:$I$1001)</f>
        <v>0</v>
      </c>
      <c r="V3" s="263" t="n">
        <f aca="false">SUMIF('LT records'!$D$3:$D$1001,$O3&amp;"-"&amp;V$2,'LT records'!$H$3:$H$1001)+SUMIF('LT records'!$D$3:$D$1001,$O3&amp;"-"&amp;V$2,'LT records'!$I$3:$I$1001)</f>
        <v>0</v>
      </c>
      <c r="W3" s="263" t="n">
        <f aca="false">SUMIF('LT records'!$D$3:$D$1001,$O3&amp;"-"&amp;W$2,'LT records'!$H$3:$H$1001)+SUMIF('LT records'!$D$3:$D$1001,$O3&amp;"-"&amp;W$2,'LT records'!$I$3:$I$1001)</f>
        <v>0</v>
      </c>
      <c r="X3" s="263" t="n">
        <f aca="false">SUMIF('LT records'!$D$3:$D$1001,$O3&amp;"-"&amp;X$2,'LT records'!$H$3:$H$1001)+SUMIF('LT records'!$D$3:$D$1001,$O3&amp;"-"&amp;X$2,'LT records'!$I$3:$I$1001)</f>
        <v>0</v>
      </c>
      <c r="Y3" s="263" t="n">
        <f aca="false">SUMIF('LT records'!$D$3:$D$1001,$O3&amp;"-"&amp;Y$2,'LT records'!$H$3:$H$1001)+SUMIF('LT records'!$D$3:$D$1001,$O3&amp;"-"&amp;Y$2,'LT records'!$I$3:$I$1001)</f>
        <v>0</v>
      </c>
      <c r="Z3" s="263" t="n">
        <f aca="false">SUMIF('LT records'!$D$3:$D$1001,$O3&amp;"-"&amp;Z$2,'LT records'!$H$3:$H$1001)+SUMIF('LT records'!$D$3:$D$1001,$O3&amp;"-"&amp;Z$2,'LT records'!$I$3:$I$1001)</f>
        <v>0</v>
      </c>
      <c r="AA3" s="263" t="n">
        <f aca="false">SUMIF('LT records'!$D$3:$D$1001,$O3&amp;"-"&amp;AA$2,'LT records'!$H$3:$H$1001)+SUMIF('LT records'!$D$3:$D$1001,$O3&amp;"-"&amp;AA$2,'LT records'!$I$3:$I$1001)</f>
        <v>0</v>
      </c>
      <c r="AB3" s="263" t="n">
        <f aca="false">SUMIF('LT records'!$D$3:$D$1001,$O3&amp;"-"&amp;AB$2,'LT records'!$H$3:$H$1001)+SUMIF('LT records'!$D$3:$D$1001,$O3&amp;"-"&amp;AB$2,'LT records'!$I$3:$I$1001)</f>
        <v>2012.72</v>
      </c>
      <c r="AC3" s="263" t="n">
        <f aca="false">SUMIF('LT records'!$D$3:$D$1001,$O3&amp;"-"&amp;AC$2,'LT records'!$H$3:$H$1001)+SUMIF('LT records'!$D$3:$D$1001,$O3&amp;"-"&amp;AC$2,'LT records'!$I$3:$I$1001)</f>
        <v>1009.01</v>
      </c>
      <c r="AD3" s="263" t="n">
        <f aca="false">SUMIF('LT records'!$D$3:$D$1001,$O3&amp;"-"&amp;AD$2,'LT records'!$H$3:$H$1001)+SUMIF('LT records'!$D$3:$D$1001,$O3&amp;"-"&amp;AD$2,'LT records'!$I$3:$I$1001)</f>
        <v>3012.24</v>
      </c>
    </row>
    <row r="4" customFormat="false" ht="12.8" hidden="false" customHeight="false" outlineLevel="0" collapsed="false">
      <c r="B4" s="264" t="s">
        <v>294</v>
      </c>
      <c r="C4" s="265" t="s">
        <v>292</v>
      </c>
      <c r="D4" s="266" t="s">
        <v>294</v>
      </c>
      <c r="E4" s="267" t="s">
        <v>293</v>
      </c>
      <c r="F4" s="265" t="n">
        <f aca="false">ROUND(SUMIF('LT records'!$E$3:$E$1001,$B4,'LT records'!$H$3:$H$1001)+G4,2)</f>
        <v>16333.44</v>
      </c>
      <c r="G4" s="268" t="n">
        <f aca="false">SUMIF('LT records'!$E$3:$E$1001,$B4,'LT records'!$I$3:$I$1001)</f>
        <v>1597.04</v>
      </c>
      <c r="H4" s="268" t="n">
        <f aca="false">SUMIF('LT records'!$E$3:$E$1001,$B4,'LT records'!$K$3:$K$1001)</f>
        <v>0</v>
      </c>
      <c r="I4" s="269" t="str">
        <f aca="false">IF(J4="","0-no date",YEAR(J4)&amp;"-"&amp;IF(MONTH(J4)&lt;10,"0"&amp;MONTH(J4),MONTH(J4)))</f>
        <v>2024-02</v>
      </c>
      <c r="J4" s="270" t="n">
        <v>45327</v>
      </c>
      <c r="K4" s="271" t="str">
        <f aca="false">IF(J4=MIN($J$3:$J$22),"***","")</f>
        <v/>
      </c>
      <c r="M4" s="272" t="s">
        <v>295</v>
      </c>
      <c r="O4" s="260" t="n">
        <v>2013</v>
      </c>
      <c r="P4" s="273" t="n">
        <f aca="false">SUMIF('LT records'!$C$3:$C$1001,$O4,'LT records'!$H$3:$H$1001)+SUMIF('LT records'!$C$3:$C$1001,$O4,'LT records'!$I$3:$I$1001)</f>
        <v>10966.03</v>
      </c>
      <c r="Q4" s="273" t="n">
        <f aca="true">P4/IF($O4=YEAR(TODAY()),MONTH(TODAY()),12)</f>
        <v>913.835833333333</v>
      </c>
      <c r="R4" s="262" t="n">
        <f aca="false">SUMIF('LT records'!$D$3:$D$1001,$O4&amp;"-"&amp;R$2,'LT records'!$H$3:$H$1001)+SUMIF('LT records'!$D$3:$D$1001,$O4&amp;"-"&amp;R$2,'LT records'!$I$3:$I$1001)</f>
        <v>0</v>
      </c>
      <c r="S4" s="263" t="n">
        <f aca="false">SUMIF('LT records'!$D$3:$D$1001,$O4&amp;"-"&amp;S$2,'LT records'!$H$3:$H$1001)+SUMIF('LT records'!$D$3:$D$1001,$O4&amp;"-"&amp;S$2,'LT records'!$I$3:$I$1001)</f>
        <v>1000</v>
      </c>
      <c r="T4" s="263" t="n">
        <f aca="false">SUMIF('LT records'!$D$3:$D$1001,$O4&amp;"-"&amp;T$2,'LT records'!$H$3:$H$1001)+SUMIF('LT records'!$D$3:$D$1001,$O4&amp;"-"&amp;T$2,'LT records'!$I$3:$I$1001)</f>
        <v>6004.23</v>
      </c>
      <c r="U4" s="263" t="n">
        <f aca="false">SUMIF('LT records'!$D$3:$D$1001,$O4&amp;"-"&amp;U$2,'LT records'!$H$3:$H$1001)+SUMIF('LT records'!$D$3:$D$1001,$O4&amp;"-"&amp;U$2,'LT records'!$I$3:$I$1001)</f>
        <v>2102.57</v>
      </c>
      <c r="V4" s="263" t="n">
        <f aca="false">SUMIF('LT records'!$D$3:$D$1001,$O4&amp;"-"&amp;V$2,'LT records'!$H$3:$H$1001)+SUMIF('LT records'!$D$3:$D$1001,$O4&amp;"-"&amp;V$2,'LT records'!$I$3:$I$1001)</f>
        <v>1062.11</v>
      </c>
      <c r="W4" s="263" t="n">
        <f aca="false">SUMIF('LT records'!$D$3:$D$1001,$O4&amp;"-"&amp;W$2,'LT records'!$H$3:$H$1001)+SUMIF('LT records'!$D$3:$D$1001,$O4&amp;"-"&amp;W$2,'LT records'!$I$3:$I$1001)</f>
        <v>-1528.49</v>
      </c>
      <c r="X4" s="263" t="n">
        <f aca="false">SUMIF('LT records'!$D$3:$D$1001,$O4&amp;"-"&amp;X$2,'LT records'!$H$3:$H$1001)+SUMIF('LT records'!$D$3:$D$1001,$O4&amp;"-"&amp;X$2,'LT records'!$I$3:$I$1001)</f>
        <v>-674.39</v>
      </c>
      <c r="Y4" s="263" t="n">
        <f aca="false">SUMIF('LT records'!$D$3:$D$1001,$O4&amp;"-"&amp;Y$2,'LT records'!$H$3:$H$1001)+SUMIF('LT records'!$D$3:$D$1001,$O4&amp;"-"&amp;Y$2,'LT records'!$I$3:$I$1001)</f>
        <v>500</v>
      </c>
      <c r="Z4" s="263" t="n">
        <f aca="false">SUMIF('LT records'!$D$3:$D$1001,$O4&amp;"-"&amp;Z$2,'LT records'!$H$3:$H$1001)+SUMIF('LT records'!$D$3:$D$1001,$O4&amp;"-"&amp;Z$2,'LT records'!$I$3:$I$1001)</f>
        <v>1000</v>
      </c>
      <c r="AA4" s="263" t="n">
        <f aca="false">SUMIF('LT records'!$D$3:$D$1001,$O4&amp;"-"&amp;AA$2,'LT records'!$H$3:$H$1001)+SUMIF('LT records'!$D$3:$D$1001,$O4&amp;"-"&amp;AA$2,'LT records'!$I$3:$I$1001)</f>
        <v>-500</v>
      </c>
      <c r="AB4" s="263" t="n">
        <f aca="false">SUMIF('LT records'!$D$3:$D$1001,$O4&amp;"-"&amp;AB$2,'LT records'!$H$3:$H$1001)+SUMIF('LT records'!$D$3:$D$1001,$O4&amp;"-"&amp;AB$2,'LT records'!$I$3:$I$1001)</f>
        <v>0</v>
      </c>
      <c r="AC4" s="263" t="n">
        <f aca="false">SUMIF('LT records'!$D$3:$D$1001,$O4&amp;"-"&amp;AC$2,'LT records'!$H$3:$H$1001)+SUMIF('LT records'!$D$3:$D$1001,$O4&amp;"-"&amp;AC$2,'LT records'!$I$3:$I$1001)</f>
        <v>1000</v>
      </c>
      <c r="AD4" s="263" t="n">
        <f aca="false">SUMIF('LT records'!$D$3:$D$1001,$O4&amp;"-"&amp;AD$2,'LT records'!$H$3:$H$1001)+SUMIF('LT records'!$D$3:$D$1001,$O4&amp;"-"&amp;AD$2,'LT records'!$I$3:$I$1001)</f>
        <v>1000</v>
      </c>
    </row>
    <row r="5" customFormat="false" ht="12.8" hidden="false" customHeight="false" outlineLevel="0" collapsed="false">
      <c r="B5" s="264" t="s">
        <v>296</v>
      </c>
      <c r="C5" s="265" t="s">
        <v>292</v>
      </c>
      <c r="D5" s="266" t="s">
        <v>296</v>
      </c>
      <c r="E5" s="267" t="s">
        <v>293</v>
      </c>
      <c r="F5" s="265" t="n">
        <f aca="false">ROUND(SUMIF('LT records'!$E$3:$E$1001,$B5,'LT records'!$H$3:$H$1001)+G5,2)</f>
        <v>16410.51</v>
      </c>
      <c r="G5" s="268" t="n">
        <f aca="false">SUMIF('LT records'!$E$3:$E$1001,$B5,'LT records'!$I$3:$I$1001)</f>
        <v>1674.07</v>
      </c>
      <c r="H5" s="268" t="n">
        <f aca="false">SUMIF('LT records'!$E$3:$E$1001,$B5,'LT records'!$K$3:$K$1001)</f>
        <v>0</v>
      </c>
      <c r="I5" s="269" t="str">
        <f aca="false">IF(J5="","0-no date",YEAR(J5)&amp;"-"&amp;IF(MONTH(J5)&lt;10,"0"&amp;MONTH(J5),MONTH(J5)))</f>
        <v>2024-03</v>
      </c>
      <c r="J5" s="270" t="n">
        <v>45355</v>
      </c>
      <c r="K5" s="271" t="str">
        <f aca="false">IF(J5=MIN($J$3:$J$22),"***","")</f>
        <v/>
      </c>
      <c r="M5" s="274" t="n">
        <f aca="false">SUM(F3:F17)</f>
        <v>192755.1</v>
      </c>
      <c r="O5" s="260" t="n">
        <v>2014</v>
      </c>
      <c r="P5" s="273" t="n">
        <f aca="false">SUMIF('LT records'!$C$3:$C$1001,$O5,'LT records'!$H$3:$H$1001)+SUMIF('LT records'!$C$3:$C$1001,$O5,'LT records'!$I$3:$I$1001)</f>
        <v>21278.32</v>
      </c>
      <c r="Q5" s="273" t="n">
        <f aca="true">P5/IF($O5=YEAR(TODAY()),MONTH(TODAY()),12)</f>
        <v>1773.19333333333</v>
      </c>
      <c r="R5" s="262" t="n">
        <f aca="false">SUMIF('LT records'!$D$3:$D$1001,$O5&amp;"-"&amp;R$2,'LT records'!$H$3:$H$1001)+SUMIF('LT records'!$D$3:$D$1001,$O5&amp;"-"&amp;R$2,'LT records'!$I$3:$I$1001)</f>
        <v>0</v>
      </c>
      <c r="S5" s="263" t="n">
        <f aca="false">SUMIF('LT records'!$D$3:$D$1001,$O5&amp;"-"&amp;S$2,'LT records'!$H$3:$H$1001)+SUMIF('LT records'!$D$3:$D$1001,$O5&amp;"-"&amp;S$2,'LT records'!$I$3:$I$1001)</f>
        <v>1000</v>
      </c>
      <c r="T5" s="263" t="n">
        <f aca="false">SUMIF('LT records'!$D$3:$D$1001,$O5&amp;"-"&amp;T$2,'LT records'!$H$3:$H$1001)+SUMIF('LT records'!$D$3:$D$1001,$O5&amp;"-"&amp;T$2,'LT records'!$I$3:$I$1001)</f>
        <v>7000</v>
      </c>
      <c r="U5" s="263" t="n">
        <f aca="false">SUMIF('LT records'!$D$3:$D$1001,$O5&amp;"-"&amp;U$2,'LT records'!$H$3:$H$1001)+SUMIF('LT records'!$D$3:$D$1001,$O5&amp;"-"&amp;U$2,'LT records'!$I$3:$I$1001)</f>
        <v>0</v>
      </c>
      <c r="V5" s="263" t="n">
        <f aca="false">SUMIF('LT records'!$D$3:$D$1001,$O5&amp;"-"&amp;V$2,'LT records'!$H$3:$H$1001)+SUMIF('LT records'!$D$3:$D$1001,$O5&amp;"-"&amp;V$2,'LT records'!$I$3:$I$1001)</f>
        <v>1000</v>
      </c>
      <c r="W5" s="263" t="n">
        <f aca="false">SUMIF('LT records'!$D$3:$D$1001,$O5&amp;"-"&amp;W$2,'LT records'!$H$3:$H$1001)+SUMIF('LT records'!$D$3:$D$1001,$O5&amp;"-"&amp;W$2,'LT records'!$I$3:$I$1001)</f>
        <v>200</v>
      </c>
      <c r="X5" s="263" t="n">
        <f aca="false">SUMIF('LT records'!$D$3:$D$1001,$O5&amp;"-"&amp;X$2,'LT records'!$H$3:$H$1001)+SUMIF('LT records'!$D$3:$D$1001,$O5&amp;"-"&amp;X$2,'LT records'!$I$3:$I$1001)</f>
        <v>-1500</v>
      </c>
      <c r="Y5" s="263" t="n">
        <f aca="false">SUMIF('LT records'!$D$3:$D$1001,$O5&amp;"-"&amp;Y$2,'LT records'!$H$3:$H$1001)+SUMIF('LT records'!$D$3:$D$1001,$O5&amp;"-"&amp;Y$2,'LT records'!$I$3:$I$1001)</f>
        <v>-200</v>
      </c>
      <c r="Z5" s="263" t="n">
        <f aca="false">SUMIF('LT records'!$D$3:$D$1001,$O5&amp;"-"&amp;Z$2,'LT records'!$H$3:$H$1001)+SUMIF('LT records'!$D$3:$D$1001,$O5&amp;"-"&amp;Z$2,'LT records'!$I$3:$I$1001)</f>
        <v>3643.98</v>
      </c>
      <c r="AA5" s="263" t="n">
        <f aca="false">SUMIF('LT records'!$D$3:$D$1001,$O5&amp;"-"&amp;AA$2,'LT records'!$H$3:$H$1001)+SUMIF('LT records'!$D$3:$D$1001,$O5&amp;"-"&amp;AA$2,'LT records'!$I$3:$I$1001)</f>
        <v>4000</v>
      </c>
      <c r="AB5" s="263" t="n">
        <f aca="false">SUMIF('LT records'!$D$3:$D$1001,$O5&amp;"-"&amp;AB$2,'LT records'!$H$3:$H$1001)+SUMIF('LT records'!$D$3:$D$1001,$O5&amp;"-"&amp;AB$2,'LT records'!$I$3:$I$1001)</f>
        <v>1000</v>
      </c>
      <c r="AC5" s="263" t="n">
        <f aca="false">SUMIF('LT records'!$D$3:$D$1001,$O5&amp;"-"&amp;AC$2,'LT records'!$H$3:$H$1001)+SUMIF('LT records'!$D$3:$D$1001,$O5&amp;"-"&amp;AC$2,'LT records'!$I$3:$I$1001)</f>
        <v>3134.34</v>
      </c>
      <c r="AD5" s="263" t="n">
        <f aca="false">SUMIF('LT records'!$D$3:$D$1001,$O5&amp;"-"&amp;AD$2,'LT records'!$H$3:$H$1001)+SUMIF('LT records'!$D$3:$D$1001,$O5&amp;"-"&amp;AD$2,'LT records'!$I$3:$I$1001)</f>
        <v>2000</v>
      </c>
    </row>
    <row r="6" customFormat="false" ht="12.8" hidden="false" customHeight="false" outlineLevel="0" collapsed="false">
      <c r="B6" s="264" t="s">
        <v>297</v>
      </c>
      <c r="C6" s="265" t="s">
        <v>292</v>
      </c>
      <c r="D6" s="266" t="s">
        <v>297</v>
      </c>
      <c r="E6" s="267" t="s">
        <v>293</v>
      </c>
      <c r="F6" s="265" t="n">
        <f aca="false">ROUND(SUMIF('LT records'!$E$3:$E$1001,$B6,'LT records'!$H$3:$H$1001)+G6,2)</f>
        <v>16362.68</v>
      </c>
      <c r="G6" s="268" t="n">
        <f aca="false">SUMIF('LT records'!$E$3:$E$1001,$B6,'LT records'!$I$3:$I$1001)</f>
        <v>1861.65</v>
      </c>
      <c r="H6" s="268" t="n">
        <f aca="false">SUMIF('LT records'!$E$3:$E$1001,$B6,'LT records'!$K$3:$K$1001)</f>
        <v>0</v>
      </c>
      <c r="I6" s="269" t="str">
        <f aca="false">IF(J6="","0-no date",YEAR(J6)&amp;"-"&amp;IF(MONTH(J6)&lt;10,"0"&amp;MONTH(J6),MONTH(J6)))</f>
        <v>2024-04</v>
      </c>
      <c r="J6" s="270" t="n">
        <v>45386</v>
      </c>
      <c r="K6" s="271" t="str">
        <f aca="false">IF(J6=MIN($J$3:$J$22),"***","")</f>
        <v/>
      </c>
      <c r="M6" s="0"/>
      <c r="O6" s="260" t="n">
        <v>2015</v>
      </c>
      <c r="P6" s="273" t="n">
        <f aca="false">SUMIF('LT records'!$C$3:$C$1001,$O6,'LT records'!$H$3:$H$1001)+SUMIF('LT records'!$C$3:$C$1001,$O6,'LT records'!$I$3:$I$1001)</f>
        <v>18624.12</v>
      </c>
      <c r="Q6" s="273" t="n">
        <f aca="true">P6/IF($O6=YEAR(TODAY()),MONTH(TODAY()),12)</f>
        <v>1552.01</v>
      </c>
      <c r="R6" s="262" t="n">
        <f aca="false">SUMIF('LT records'!$D$3:$D$1001,$O6&amp;"-"&amp;R$2,'LT records'!$H$3:$H$1001)+SUMIF('LT records'!$D$3:$D$1001,$O6&amp;"-"&amp;R$2,'LT records'!$I$3:$I$1001)</f>
        <v>0</v>
      </c>
      <c r="S6" s="263" t="n">
        <f aca="false">SUMIF('LT records'!$D$3:$D$1001,$O6&amp;"-"&amp;S$2,'LT records'!$H$3:$H$1001)+SUMIF('LT records'!$D$3:$D$1001,$O6&amp;"-"&amp;S$2,'LT records'!$I$3:$I$1001)</f>
        <v>3500</v>
      </c>
      <c r="T6" s="263" t="n">
        <f aca="false">SUMIF('LT records'!$D$3:$D$1001,$O6&amp;"-"&amp;T$2,'LT records'!$H$3:$H$1001)+SUMIF('LT records'!$D$3:$D$1001,$O6&amp;"-"&amp;T$2,'LT records'!$I$3:$I$1001)</f>
        <v>3113.76</v>
      </c>
      <c r="U6" s="263" t="n">
        <f aca="false">SUMIF('LT records'!$D$3:$D$1001,$O6&amp;"-"&amp;U$2,'LT records'!$H$3:$H$1001)+SUMIF('LT records'!$D$3:$D$1001,$O6&amp;"-"&amp;U$2,'LT records'!$I$3:$I$1001)</f>
        <v>2049.71</v>
      </c>
      <c r="V6" s="263" t="n">
        <f aca="false">SUMIF('LT records'!$D$3:$D$1001,$O6&amp;"-"&amp;V$2,'LT records'!$H$3:$H$1001)+SUMIF('LT records'!$D$3:$D$1001,$O6&amp;"-"&amp;V$2,'LT records'!$I$3:$I$1001)</f>
        <v>1500</v>
      </c>
      <c r="W6" s="263" t="n">
        <f aca="false">SUMIF('LT records'!$D$3:$D$1001,$O6&amp;"-"&amp;W$2,'LT records'!$H$3:$H$1001)+SUMIF('LT records'!$D$3:$D$1001,$O6&amp;"-"&amp;W$2,'LT records'!$I$3:$I$1001)</f>
        <v>-1910.2</v>
      </c>
      <c r="X6" s="263" t="n">
        <f aca="false">SUMIF('LT records'!$D$3:$D$1001,$O6&amp;"-"&amp;X$2,'LT records'!$H$3:$H$1001)+SUMIF('LT records'!$D$3:$D$1001,$O6&amp;"-"&amp;X$2,'LT records'!$I$3:$I$1001)</f>
        <v>1045.75</v>
      </c>
      <c r="Y6" s="263" t="n">
        <f aca="false">SUMIF('LT records'!$D$3:$D$1001,$O6&amp;"-"&amp;Y$2,'LT records'!$H$3:$H$1001)+SUMIF('LT records'!$D$3:$D$1001,$O6&amp;"-"&amp;Y$2,'LT records'!$I$3:$I$1001)</f>
        <v>541.88</v>
      </c>
      <c r="Z6" s="263" t="n">
        <f aca="false">SUMIF('LT records'!$D$3:$D$1001,$O6&amp;"-"&amp;Z$2,'LT records'!$H$3:$H$1001)+SUMIF('LT records'!$D$3:$D$1001,$O6&amp;"-"&amp;Z$2,'LT records'!$I$3:$I$1001)</f>
        <v>-1415.44</v>
      </c>
      <c r="AA6" s="263" t="n">
        <f aca="false">SUMIF('LT records'!$D$3:$D$1001,$O6&amp;"-"&amp;AA$2,'LT records'!$H$3:$H$1001)+SUMIF('LT records'!$D$3:$D$1001,$O6&amp;"-"&amp;AA$2,'LT records'!$I$3:$I$1001)</f>
        <v>40.61</v>
      </c>
      <c r="AB6" s="263" t="n">
        <f aca="false">SUMIF('LT records'!$D$3:$D$1001,$O6&amp;"-"&amp;AB$2,'LT records'!$H$3:$H$1001)+SUMIF('LT records'!$D$3:$D$1001,$O6&amp;"-"&amp;AB$2,'LT records'!$I$3:$I$1001)</f>
        <v>1040.4</v>
      </c>
      <c r="AC6" s="263" t="n">
        <f aca="false">SUMIF('LT records'!$D$3:$D$1001,$O6&amp;"-"&amp;AC$2,'LT records'!$H$3:$H$1001)+SUMIF('LT records'!$D$3:$D$1001,$O6&amp;"-"&amp;AC$2,'LT records'!$I$3:$I$1001)</f>
        <v>2078.38</v>
      </c>
      <c r="AD6" s="263" t="n">
        <f aca="false">SUMIF('LT records'!$D$3:$D$1001,$O6&amp;"-"&amp;AD$2,'LT records'!$H$3:$H$1001)+SUMIF('LT records'!$D$3:$D$1001,$O6&amp;"-"&amp;AD$2,'LT records'!$I$3:$I$1001)</f>
        <v>7039.27</v>
      </c>
    </row>
    <row r="7" customFormat="false" ht="12.8" hidden="false" customHeight="false" outlineLevel="0" collapsed="false">
      <c r="B7" s="264" t="s">
        <v>298</v>
      </c>
      <c r="C7" s="265" t="s">
        <v>292</v>
      </c>
      <c r="D7" s="266" t="s">
        <v>298</v>
      </c>
      <c r="E7" s="267" t="s">
        <v>293</v>
      </c>
      <c r="F7" s="265" t="n">
        <f aca="false">ROUND(SUMIF('LT records'!$E$3:$E$1001,$B7,'LT records'!$H$3:$H$1001)+G7,2)</f>
        <v>16254.18</v>
      </c>
      <c r="G7" s="268" t="n">
        <f aca="false">SUMIF('LT records'!$E$3:$E$1001,$B7,'LT records'!$I$3:$I$1001)</f>
        <v>1769.71</v>
      </c>
      <c r="H7" s="268" t="n">
        <f aca="false">SUMIF('LT records'!$E$3:$E$1001,$B7,'LT records'!$K$3:$K$1001)</f>
        <v>0</v>
      </c>
      <c r="I7" s="269" t="str">
        <f aca="false">IF(J7="","0-no date",YEAR(J7)&amp;"-"&amp;IF(MONTH(J7)&lt;10,"0"&amp;MONTH(J7),MONTH(J7)))</f>
        <v>2024-05</v>
      </c>
      <c r="J7" s="270" t="n">
        <v>45419</v>
      </c>
      <c r="K7" s="271" t="str">
        <f aca="false">IF(J7=MIN($J$3:$J$22),"***","")</f>
        <v/>
      </c>
      <c r="M7" s="275" t="s">
        <v>299</v>
      </c>
      <c r="O7" s="260" t="n">
        <v>2016</v>
      </c>
      <c r="P7" s="273" t="n">
        <f aca="false">SUMIF('LT records'!$C$3:$C$1001,$O7,'LT records'!$H$3:$H$1001)+SUMIF('LT records'!$C$3:$C$1001,$O7,'LT records'!$I$3:$I$1001)</f>
        <v>20578.99</v>
      </c>
      <c r="Q7" s="273" t="n">
        <f aca="true">P7/IF($O7=YEAR(TODAY()),MONTH(TODAY()),12)</f>
        <v>1714.91583333333</v>
      </c>
      <c r="R7" s="262" t="n">
        <f aca="false">SUMIF('LT records'!$D$3:$D$1001,$O7&amp;"-"&amp;R$2,'LT records'!$H$3:$H$1001)+SUMIF('LT records'!$D$3:$D$1001,$O7&amp;"-"&amp;R$2,'LT records'!$I$3:$I$1001)</f>
        <v>0</v>
      </c>
      <c r="S7" s="263" t="n">
        <f aca="false">SUMIF('LT records'!$D$3:$D$1001,$O7&amp;"-"&amp;S$2,'LT records'!$H$3:$H$1001)+SUMIF('LT records'!$D$3:$D$1001,$O7&amp;"-"&amp;S$2,'LT records'!$I$3:$I$1001)</f>
        <v>2036.26</v>
      </c>
      <c r="T7" s="263" t="n">
        <f aca="false">SUMIF('LT records'!$D$3:$D$1001,$O7&amp;"-"&amp;T$2,'LT records'!$H$3:$H$1001)+SUMIF('LT records'!$D$3:$D$1001,$O7&amp;"-"&amp;T$2,'LT records'!$I$3:$I$1001)</f>
        <v>1573.58</v>
      </c>
      <c r="U7" s="263" t="n">
        <f aca="false">SUMIF('LT records'!$D$3:$D$1001,$O7&amp;"-"&amp;U$2,'LT records'!$H$3:$H$1001)+SUMIF('LT records'!$D$3:$D$1001,$O7&amp;"-"&amp;U$2,'LT records'!$I$3:$I$1001)</f>
        <v>1034.01</v>
      </c>
      <c r="V7" s="263" t="n">
        <f aca="false">SUMIF('LT records'!$D$3:$D$1001,$O7&amp;"-"&amp;V$2,'LT records'!$H$3:$H$1001)+SUMIF('LT records'!$D$3:$D$1001,$O7&amp;"-"&amp;V$2,'LT records'!$I$3:$I$1001)</f>
        <v>2026.42</v>
      </c>
      <c r="W7" s="263" t="n">
        <f aca="false">SUMIF('LT records'!$D$3:$D$1001,$O7&amp;"-"&amp;W$2,'LT records'!$H$3:$H$1001)+SUMIF('LT records'!$D$3:$D$1001,$O7&amp;"-"&amp;W$2,'LT records'!$I$3:$I$1001)</f>
        <v>2054.28</v>
      </c>
      <c r="X7" s="263" t="n">
        <f aca="false">SUMIF('LT records'!$D$3:$D$1001,$O7&amp;"-"&amp;X$2,'LT records'!$H$3:$H$1001)+SUMIF('LT records'!$D$3:$D$1001,$O7&amp;"-"&amp;X$2,'LT records'!$I$3:$I$1001)</f>
        <v>2023.71</v>
      </c>
      <c r="Y7" s="263" t="n">
        <f aca="false">SUMIF('LT records'!$D$3:$D$1001,$O7&amp;"-"&amp;Y$2,'LT records'!$H$3:$H$1001)+SUMIF('LT records'!$D$3:$D$1001,$O7&amp;"-"&amp;Y$2,'LT records'!$I$3:$I$1001)</f>
        <v>500</v>
      </c>
      <c r="Z7" s="263" t="n">
        <f aca="false">SUMIF('LT records'!$D$3:$D$1001,$O7&amp;"-"&amp;Z$2,'LT records'!$H$3:$H$1001)+SUMIF('LT records'!$D$3:$D$1001,$O7&amp;"-"&amp;Z$2,'LT records'!$I$3:$I$1001)</f>
        <v>2000</v>
      </c>
      <c r="AA7" s="263" t="n">
        <f aca="false">SUMIF('LT records'!$D$3:$D$1001,$O7&amp;"-"&amp;AA$2,'LT records'!$H$3:$H$1001)+SUMIF('LT records'!$D$3:$D$1001,$O7&amp;"-"&amp;AA$2,'LT records'!$I$3:$I$1001)</f>
        <v>700</v>
      </c>
      <c r="AB7" s="263" t="n">
        <f aca="false">SUMIF('LT records'!$D$3:$D$1001,$O7&amp;"-"&amp;AB$2,'LT records'!$H$3:$H$1001)+SUMIF('LT records'!$D$3:$D$1001,$O7&amp;"-"&amp;AB$2,'LT records'!$I$3:$I$1001)</f>
        <v>1863.92</v>
      </c>
      <c r="AC7" s="263" t="n">
        <f aca="false">SUMIF('LT records'!$D$3:$D$1001,$O7&amp;"-"&amp;AC$2,'LT records'!$H$3:$H$1001)+SUMIF('LT records'!$D$3:$D$1001,$O7&amp;"-"&amp;AC$2,'LT records'!$I$3:$I$1001)</f>
        <v>2133.54</v>
      </c>
      <c r="AD7" s="263" t="n">
        <f aca="false">SUMIF('LT records'!$D$3:$D$1001,$O7&amp;"-"&amp;AD$2,'LT records'!$H$3:$H$1001)+SUMIF('LT records'!$D$3:$D$1001,$O7&amp;"-"&amp;AD$2,'LT records'!$I$3:$I$1001)</f>
        <v>2633.27</v>
      </c>
    </row>
    <row r="8" customFormat="false" ht="12.8" hidden="false" customHeight="false" outlineLevel="0" collapsed="false">
      <c r="B8" s="264" t="s">
        <v>300</v>
      </c>
      <c r="C8" s="265" t="s">
        <v>292</v>
      </c>
      <c r="D8" s="266" t="s">
        <v>300</v>
      </c>
      <c r="E8" s="267" t="s">
        <v>293</v>
      </c>
      <c r="F8" s="265" t="n">
        <f aca="false">ROUND(SUMIF('LT records'!$E$3:$E$1001,$B8,'LT records'!$H$3:$H$1001)+G8,2)</f>
        <v>16067.77</v>
      </c>
      <c r="G8" s="268" t="n">
        <f aca="false">SUMIF('LT records'!$E$3:$E$1001,$B8,'LT records'!$I$3:$I$1001)</f>
        <v>1734.27</v>
      </c>
      <c r="H8" s="268" t="n">
        <f aca="false">SUMIF('LT records'!$E$3:$E$1001,$B8,'LT records'!$K$3:$K$1001)</f>
        <v>0</v>
      </c>
      <c r="I8" s="269" t="str">
        <f aca="false">IF(J8="","0-no date",YEAR(J8)&amp;"-"&amp;IF(MONTH(J8)&lt;10,"0"&amp;MONTH(J8),MONTH(J8)))</f>
        <v>2024-06</v>
      </c>
      <c r="J8" s="270" t="n">
        <v>45449</v>
      </c>
      <c r="K8" s="271" t="str">
        <f aca="false">IF(J8=MIN($J$3:$J$22),"***","")</f>
        <v/>
      </c>
      <c r="M8" s="276" t="n">
        <f aca="false">SUM(F3:F18)</f>
        <v>210412.39</v>
      </c>
      <c r="O8" s="260" t="n">
        <v>2017</v>
      </c>
      <c r="P8" s="273" t="n">
        <f aca="false">SUMIF('LT records'!$C$3:$C$1001,$O8,'LT records'!$H$3:$H$1001)+SUMIF('LT records'!$C$3:$C$1001,$O8,'LT records'!$I$3:$I$1001)</f>
        <v>40416.2</v>
      </c>
      <c r="Q8" s="273" t="n">
        <f aca="true">P8/IF($O8=YEAR(TODAY()),MONTH(TODAY()),12)</f>
        <v>3368.01666666667</v>
      </c>
      <c r="R8" s="262" t="n">
        <f aca="false">SUMIF('LT records'!$D$3:$D$1001,$O8&amp;"-"&amp;R$2,'LT records'!$H$3:$H$1001)+SUMIF('LT records'!$D$3:$D$1001,$O8&amp;"-"&amp;R$2,'LT records'!$I$3:$I$1001)</f>
        <v>0</v>
      </c>
      <c r="S8" s="263" t="n">
        <f aca="false">SUMIF('LT records'!$D$3:$D$1001,$O8&amp;"-"&amp;S$2,'LT records'!$H$3:$H$1001)+SUMIF('LT records'!$D$3:$D$1001,$O8&amp;"-"&amp;S$2,'LT records'!$I$3:$I$1001)</f>
        <v>2019.2</v>
      </c>
      <c r="T8" s="263" t="n">
        <f aca="false">SUMIF('LT records'!$D$3:$D$1001,$O8&amp;"-"&amp;T$2,'LT records'!$H$3:$H$1001)+SUMIF('LT records'!$D$3:$D$1001,$O8&amp;"-"&amp;T$2,'LT records'!$I$3:$I$1001)</f>
        <v>2575.88</v>
      </c>
      <c r="U8" s="263" t="n">
        <f aca="false">SUMIF('LT records'!$D$3:$D$1001,$O8&amp;"-"&amp;U$2,'LT records'!$H$3:$H$1001)+SUMIF('LT records'!$D$3:$D$1001,$O8&amp;"-"&amp;U$2,'LT records'!$I$3:$I$1001)</f>
        <v>1573.41</v>
      </c>
      <c r="V8" s="263" t="n">
        <f aca="false">SUMIF('LT records'!$D$3:$D$1001,$O8&amp;"-"&amp;V$2,'LT records'!$H$3:$H$1001)+SUMIF('LT records'!$D$3:$D$1001,$O8&amp;"-"&amp;V$2,'LT records'!$I$3:$I$1001)</f>
        <v>2350.94</v>
      </c>
      <c r="W8" s="263" t="n">
        <f aca="false">SUMIF('LT records'!$D$3:$D$1001,$O8&amp;"-"&amp;W$2,'LT records'!$H$3:$H$1001)+SUMIF('LT records'!$D$3:$D$1001,$O8&amp;"-"&amp;W$2,'LT records'!$I$3:$I$1001)</f>
        <v>4518.27</v>
      </c>
      <c r="X8" s="263" t="n">
        <f aca="false">SUMIF('LT records'!$D$3:$D$1001,$O8&amp;"-"&amp;X$2,'LT records'!$H$3:$H$1001)+SUMIF('LT records'!$D$3:$D$1001,$O8&amp;"-"&amp;X$2,'LT records'!$I$3:$I$1001)</f>
        <v>1567.34</v>
      </c>
      <c r="Y8" s="263" t="n">
        <f aca="false">SUMIF('LT records'!$D$3:$D$1001,$O8&amp;"-"&amp;Y$2,'LT records'!$H$3:$H$1001)+SUMIF('LT records'!$D$3:$D$1001,$O8&amp;"-"&amp;Y$2,'LT records'!$I$3:$I$1001)</f>
        <v>2180.82</v>
      </c>
      <c r="Z8" s="263" t="n">
        <f aca="false">SUMIF('LT records'!$D$3:$D$1001,$O8&amp;"-"&amp;Z$2,'LT records'!$H$3:$H$1001)+SUMIF('LT records'!$D$3:$D$1001,$O8&amp;"-"&amp;Z$2,'LT records'!$I$3:$I$1001)</f>
        <v>2193.3</v>
      </c>
      <c r="AA8" s="263" t="n">
        <f aca="false">SUMIF('LT records'!$D$3:$D$1001,$O8&amp;"-"&amp;AA$2,'LT records'!$H$3:$H$1001)+SUMIF('LT records'!$D$3:$D$1001,$O8&amp;"-"&amp;AA$2,'LT records'!$I$3:$I$1001)</f>
        <v>6798.97</v>
      </c>
      <c r="AB8" s="263" t="n">
        <f aca="false">SUMIF('LT records'!$D$3:$D$1001,$O8&amp;"-"&amp;AB$2,'LT records'!$H$3:$H$1001)+SUMIF('LT records'!$D$3:$D$1001,$O8&amp;"-"&amp;AB$2,'LT records'!$I$3:$I$1001)</f>
        <v>4702.38</v>
      </c>
      <c r="AC8" s="263" t="n">
        <f aca="false">SUMIF('LT records'!$D$3:$D$1001,$O8&amp;"-"&amp;AC$2,'LT records'!$H$3:$H$1001)+SUMIF('LT records'!$D$3:$D$1001,$O8&amp;"-"&amp;AC$2,'LT records'!$I$3:$I$1001)</f>
        <v>4642.8</v>
      </c>
      <c r="AD8" s="263" t="n">
        <f aca="false">SUMIF('LT records'!$D$3:$D$1001,$O8&amp;"-"&amp;AD$2,'LT records'!$H$3:$H$1001)+SUMIF('LT records'!$D$3:$D$1001,$O8&amp;"-"&amp;AD$2,'LT records'!$I$3:$I$1001)</f>
        <v>5292.89</v>
      </c>
    </row>
    <row r="9" customFormat="false" ht="12.8" hidden="false" customHeight="false" outlineLevel="0" collapsed="false">
      <c r="B9" s="264" t="s">
        <v>301</v>
      </c>
      <c r="C9" s="265" t="s">
        <v>292</v>
      </c>
      <c r="D9" s="266" t="s">
        <v>301</v>
      </c>
      <c r="E9" s="267" t="s">
        <v>293</v>
      </c>
      <c r="F9" s="265" t="n">
        <f aca="false">ROUND(SUMIF('LT records'!$E$3:$E$1001,$B9,'LT records'!$H$3:$H$1001)+G9,2)</f>
        <v>16059.12</v>
      </c>
      <c r="G9" s="268" t="n">
        <f aca="false">SUMIF('LT records'!$E$3:$E$1001,$B9,'LT records'!$I$3:$I$1001)</f>
        <v>2099.59</v>
      </c>
      <c r="H9" s="268" t="n">
        <f aca="false">SUMIF('LT records'!$E$3:$E$1001,$B9,'LT records'!$K$3:$K$1001)</f>
        <v>0</v>
      </c>
      <c r="I9" s="269" t="str">
        <f aca="false">IF(J9="","0-no date",YEAR(J9)&amp;"-"&amp;IF(MONTH(J9)&lt;10,"0"&amp;MONTH(J9),MONTH(J9)))</f>
        <v>2024-07</v>
      </c>
      <c r="J9" s="270" t="n">
        <v>45478</v>
      </c>
      <c r="K9" s="271" t="str">
        <f aca="false">IF(J9=MIN($J$3:$J$22),"***","")</f>
        <v/>
      </c>
      <c r="M9" s="0"/>
      <c r="O9" s="260" t="n">
        <v>2018</v>
      </c>
      <c r="P9" s="273" t="n">
        <f aca="false">SUMIF('LT records'!$C$3:$C$1001,$O9,'LT records'!$H$3:$H$1001)+SUMIF('LT records'!$C$3:$C$1001,$O9,'LT records'!$I$3:$I$1001)</f>
        <v>50465.48</v>
      </c>
      <c r="Q9" s="273" t="n">
        <f aca="true">P9/IF($O9=YEAR(TODAY()),MONTH(TODAY()),12)</f>
        <v>4205.45666666667</v>
      </c>
      <c r="R9" s="262" t="n">
        <f aca="false">SUMIF('LT records'!$D$3:$D$1001,$O9&amp;"-"&amp;R$2,'LT records'!$H$3:$H$1001)+SUMIF('LT records'!$D$3:$D$1001,$O9&amp;"-"&amp;R$2,'LT records'!$I$3:$I$1001)</f>
        <v>0</v>
      </c>
      <c r="S9" s="263" t="n">
        <f aca="false">SUMIF('LT records'!$D$3:$D$1001,$O9&amp;"-"&amp;S$2,'LT records'!$H$3:$H$1001)+SUMIF('LT records'!$D$3:$D$1001,$O9&amp;"-"&amp;S$2,'LT records'!$I$3:$I$1001)</f>
        <v>4747.93</v>
      </c>
      <c r="T9" s="263" t="n">
        <f aca="false">SUMIF('LT records'!$D$3:$D$1001,$O9&amp;"-"&amp;T$2,'LT records'!$H$3:$H$1001)+SUMIF('LT records'!$D$3:$D$1001,$O9&amp;"-"&amp;T$2,'LT records'!$I$3:$I$1001)</f>
        <v>3147.26</v>
      </c>
      <c r="U9" s="263" t="n">
        <f aca="false">SUMIF('LT records'!$D$3:$D$1001,$O9&amp;"-"&amp;U$2,'LT records'!$H$3:$H$1001)+SUMIF('LT records'!$D$3:$D$1001,$O9&amp;"-"&amp;U$2,'LT records'!$I$3:$I$1001)</f>
        <v>4569.05</v>
      </c>
      <c r="V9" s="263" t="n">
        <f aca="false">SUMIF('LT records'!$D$3:$D$1001,$O9&amp;"-"&amp;V$2,'LT records'!$H$3:$H$1001)+SUMIF('LT records'!$D$3:$D$1001,$O9&amp;"-"&amp;V$2,'LT records'!$I$3:$I$1001)</f>
        <v>4476.42</v>
      </c>
      <c r="W9" s="263" t="n">
        <f aca="false">SUMIF('LT records'!$D$3:$D$1001,$O9&amp;"-"&amp;W$2,'LT records'!$H$3:$H$1001)+SUMIF('LT records'!$D$3:$D$1001,$O9&amp;"-"&amp;W$2,'LT records'!$I$3:$I$1001)</f>
        <v>4441.4</v>
      </c>
      <c r="X9" s="263" t="n">
        <f aca="false">SUMIF('LT records'!$D$3:$D$1001,$O9&amp;"-"&amp;X$2,'LT records'!$H$3:$H$1001)+SUMIF('LT records'!$D$3:$D$1001,$O9&amp;"-"&amp;X$2,'LT records'!$I$3:$I$1001)</f>
        <v>3838.84</v>
      </c>
      <c r="Y9" s="263" t="n">
        <f aca="false">SUMIF('LT records'!$D$3:$D$1001,$O9&amp;"-"&amp;Y$2,'LT records'!$H$3:$H$1001)+SUMIF('LT records'!$D$3:$D$1001,$O9&amp;"-"&amp;Y$2,'LT records'!$I$3:$I$1001)</f>
        <v>3824.08</v>
      </c>
      <c r="Z9" s="263" t="n">
        <f aca="false">SUMIF('LT records'!$D$3:$D$1001,$O9&amp;"-"&amp;Z$2,'LT records'!$H$3:$H$1001)+SUMIF('LT records'!$D$3:$D$1001,$O9&amp;"-"&amp;Z$2,'LT records'!$I$3:$I$1001)</f>
        <v>2810.75</v>
      </c>
      <c r="AA9" s="263" t="n">
        <f aca="false">SUMIF('LT records'!$D$3:$D$1001,$O9&amp;"-"&amp;AA$2,'LT records'!$H$3:$H$1001)+SUMIF('LT records'!$D$3:$D$1001,$O9&amp;"-"&amp;AA$2,'LT records'!$I$3:$I$1001)</f>
        <v>3314.94</v>
      </c>
      <c r="AB9" s="263" t="n">
        <f aca="false">SUMIF('LT records'!$D$3:$D$1001,$O9&amp;"-"&amp;AB$2,'LT records'!$H$3:$H$1001)+SUMIF('LT records'!$D$3:$D$1001,$O9&amp;"-"&amp;AB$2,'LT records'!$I$3:$I$1001)</f>
        <v>5371.96</v>
      </c>
      <c r="AC9" s="263" t="n">
        <f aca="false">SUMIF('LT records'!$D$3:$D$1001,$O9&amp;"-"&amp;AC$2,'LT records'!$H$3:$H$1001)+SUMIF('LT records'!$D$3:$D$1001,$O9&amp;"-"&amp;AC$2,'LT records'!$I$3:$I$1001)</f>
        <v>4236.61</v>
      </c>
      <c r="AD9" s="263" t="n">
        <f aca="false">SUMIF('LT records'!$D$3:$D$1001,$O9&amp;"-"&amp;AD$2,'LT records'!$H$3:$H$1001)+SUMIF('LT records'!$D$3:$D$1001,$O9&amp;"-"&amp;AD$2,'LT records'!$I$3:$I$1001)</f>
        <v>5686.24</v>
      </c>
    </row>
    <row r="10" customFormat="false" ht="12.8" hidden="false" customHeight="false" outlineLevel="0" collapsed="false">
      <c r="B10" s="264" t="s">
        <v>302</v>
      </c>
      <c r="C10" s="265" t="s">
        <v>292</v>
      </c>
      <c r="D10" s="266" t="s">
        <v>302</v>
      </c>
      <c r="E10" s="267" t="s">
        <v>293</v>
      </c>
      <c r="F10" s="265" t="n">
        <f aca="false">ROUND(SUMIF('LT records'!$E$3:$E$1001,$B10,'LT records'!$H$3:$H$1001)+G10,2)</f>
        <v>15831.45</v>
      </c>
      <c r="G10" s="268" t="n">
        <f aca="false">SUMIF('LT records'!$E$3:$E$1001,$B10,'LT records'!$I$3:$I$1001)</f>
        <v>2066.64</v>
      </c>
      <c r="H10" s="268" t="n">
        <f aca="false">SUMIF('LT records'!$E$3:$E$1001,$B10,'LT records'!$K$3:$K$1001)</f>
        <v>0</v>
      </c>
      <c r="I10" s="269" t="str">
        <f aca="false">IF(J10="","0-no date",YEAR(J10)&amp;"-"&amp;IF(MONTH(J10)&lt;10,"0"&amp;MONTH(J10),MONTH(J10)))</f>
        <v>2024-08</v>
      </c>
      <c r="J10" s="270" t="n">
        <v>45509</v>
      </c>
      <c r="K10" s="271" t="str">
        <f aca="false">IF(J10=MIN($J$3:$J$22),"***","")</f>
        <v/>
      </c>
      <c r="M10" s="277" t="s">
        <v>303</v>
      </c>
      <c r="O10" s="260" t="n">
        <v>2019</v>
      </c>
      <c r="P10" s="273" t="n">
        <f aca="false">SUMIF('LT records'!$C$3:$C$1001,$O10,'LT records'!$H$3:$H$1001)+SUMIF('LT records'!$C$3:$C$1001,$O10,'LT records'!$I$3:$I$1001)</f>
        <v>74268.53</v>
      </c>
      <c r="Q10" s="273" t="n">
        <f aca="true">P10/IF($O10=YEAR(TODAY()),MONTH(TODAY()),12)</f>
        <v>6189.04416666667</v>
      </c>
      <c r="R10" s="262" t="n">
        <f aca="false">SUMIF('LT records'!$D$3:$D$1001,$O10&amp;"-"&amp;R$2,'LT records'!$H$3:$H$1001)+SUMIF('LT records'!$D$3:$D$1001,$O10&amp;"-"&amp;R$2,'LT records'!$I$3:$I$1001)</f>
        <v>0</v>
      </c>
      <c r="S10" s="263" t="n">
        <f aca="false">SUMIF('LT records'!$D$3:$D$1001,$O10&amp;"-"&amp;S$2,'LT records'!$H$3:$H$1001)+SUMIF('LT records'!$D$3:$D$1001,$O10&amp;"-"&amp;S$2,'LT records'!$I$3:$I$1001)</f>
        <v>4418.81</v>
      </c>
      <c r="T10" s="263" t="n">
        <f aca="false">SUMIF('LT records'!$D$3:$D$1001,$O10&amp;"-"&amp;T$2,'LT records'!$H$3:$H$1001)+SUMIF('LT records'!$D$3:$D$1001,$O10&amp;"-"&amp;T$2,'LT records'!$I$3:$I$1001)</f>
        <v>4509.28</v>
      </c>
      <c r="U10" s="263" t="n">
        <f aca="false">SUMIF('LT records'!$D$3:$D$1001,$O10&amp;"-"&amp;U$2,'LT records'!$H$3:$H$1001)+SUMIF('LT records'!$D$3:$D$1001,$O10&amp;"-"&amp;U$2,'LT records'!$I$3:$I$1001)</f>
        <v>4704.81</v>
      </c>
      <c r="V10" s="263" t="n">
        <f aca="false">SUMIF('LT records'!$D$3:$D$1001,$O10&amp;"-"&amp;V$2,'LT records'!$H$3:$H$1001)+SUMIF('LT records'!$D$3:$D$1001,$O10&amp;"-"&amp;V$2,'LT records'!$I$3:$I$1001)</f>
        <v>6302.31</v>
      </c>
      <c r="W10" s="263" t="n">
        <f aca="false">SUMIF('LT records'!$D$3:$D$1001,$O10&amp;"-"&amp;W$2,'LT records'!$H$3:$H$1001)+SUMIF('LT records'!$D$3:$D$1001,$O10&amp;"-"&amp;W$2,'LT records'!$I$3:$I$1001)</f>
        <v>5036.44</v>
      </c>
      <c r="X10" s="263" t="n">
        <f aca="false">SUMIF('LT records'!$D$3:$D$1001,$O10&amp;"-"&amp;X$2,'LT records'!$H$3:$H$1001)+SUMIF('LT records'!$D$3:$D$1001,$O10&amp;"-"&amp;X$2,'LT records'!$I$3:$I$1001)</f>
        <v>3688.74</v>
      </c>
      <c r="Y10" s="263" t="n">
        <f aca="false">SUMIF('LT records'!$D$3:$D$1001,$O10&amp;"-"&amp;Y$2,'LT records'!$H$3:$H$1001)+SUMIF('LT records'!$D$3:$D$1001,$O10&amp;"-"&amp;Y$2,'LT records'!$I$3:$I$1001)</f>
        <v>7610.6</v>
      </c>
      <c r="Z10" s="263" t="n">
        <f aca="false">SUMIF('LT records'!$D$3:$D$1001,$O10&amp;"-"&amp;Z$2,'LT records'!$H$3:$H$1001)+SUMIF('LT records'!$D$3:$D$1001,$O10&amp;"-"&amp;Z$2,'LT records'!$I$3:$I$1001)</f>
        <v>6930.58</v>
      </c>
      <c r="AA10" s="263" t="n">
        <f aca="false">SUMIF('LT records'!$D$3:$D$1001,$O10&amp;"-"&amp;AA$2,'LT records'!$H$3:$H$1001)+SUMIF('LT records'!$D$3:$D$1001,$O10&amp;"-"&amp;AA$2,'LT records'!$I$3:$I$1001)</f>
        <v>6511.8</v>
      </c>
      <c r="AB10" s="263" t="n">
        <f aca="false">SUMIF('LT records'!$D$3:$D$1001,$O10&amp;"-"&amp;AB$2,'LT records'!$H$3:$H$1001)+SUMIF('LT records'!$D$3:$D$1001,$O10&amp;"-"&amp;AB$2,'LT records'!$I$3:$I$1001)</f>
        <v>8196.91</v>
      </c>
      <c r="AC10" s="263" t="n">
        <f aca="false">SUMIF('LT records'!$D$3:$D$1001,$O10&amp;"-"&amp;AC$2,'LT records'!$H$3:$H$1001)+SUMIF('LT records'!$D$3:$D$1001,$O10&amp;"-"&amp;AC$2,'LT records'!$I$3:$I$1001)</f>
        <v>7417.1</v>
      </c>
      <c r="AD10" s="263" t="n">
        <f aca="false">SUMIF('LT records'!$D$3:$D$1001,$O10&amp;"-"&amp;AD$2,'LT records'!$H$3:$H$1001)+SUMIF('LT records'!$D$3:$D$1001,$O10&amp;"-"&amp;AD$2,'LT records'!$I$3:$I$1001)</f>
        <v>8941.15</v>
      </c>
    </row>
    <row r="11" customFormat="false" ht="12.8" hidden="false" customHeight="false" outlineLevel="0" collapsed="false">
      <c r="B11" s="264" t="s">
        <v>304</v>
      </c>
      <c r="C11" s="265" t="s">
        <v>292</v>
      </c>
      <c r="D11" s="266" t="s">
        <v>304</v>
      </c>
      <c r="E11" s="267" t="s">
        <v>293</v>
      </c>
      <c r="F11" s="265" t="n">
        <f aca="false">ROUND(SUMIF('LT records'!$E$3:$E$1001,$B11,'LT records'!$H$3:$H$1001)+G11,2)</f>
        <v>15732.7</v>
      </c>
      <c r="G11" s="268" t="n">
        <f aca="false">SUMIF('LT records'!$E$3:$E$1001,$B11,'LT records'!$I$3:$I$1001)</f>
        <v>1413.09</v>
      </c>
      <c r="H11" s="268" t="n">
        <f aca="false">SUMIF('LT records'!$E$3:$E$1001,$B11,'LT records'!$K$3:$K$1001)</f>
        <v>0</v>
      </c>
      <c r="I11" s="269" t="str">
        <f aca="false">IF(J11="","0-no date",YEAR(J11)&amp;"-"&amp;IF(MONTH(J11)&lt;10,"0"&amp;MONTH(J11),MONTH(J11)))</f>
        <v>2023-09</v>
      </c>
      <c r="J11" s="270" t="n">
        <v>45175</v>
      </c>
      <c r="K11" s="271" t="str">
        <f aca="false">IF(J11=MIN($J$3:$J$22),"***","")</f>
        <v>***</v>
      </c>
      <c r="M11" s="233" t="n">
        <f aca="false">'LT records'!I1002</f>
        <v>26658.37</v>
      </c>
      <c r="O11" s="260" t="n">
        <v>2020</v>
      </c>
      <c r="P11" s="273" t="n">
        <f aca="false">SUMIF('LT records'!$C$3:$C$1001,$O11,'LT records'!$H$3:$H$1001)+SUMIF('LT records'!$C$3:$C$1001,$O11,'LT records'!$I$3:$I$1001)+R11</f>
        <v>-8324.328434</v>
      </c>
      <c r="Q11" s="273" t="n">
        <f aca="true">P11/IF($O11=YEAR(TODAY()),MONTH(TODAY()),12)</f>
        <v>-693.694036166667</v>
      </c>
      <c r="R11" s="262" t="n">
        <v>0</v>
      </c>
      <c r="S11" s="263" t="n">
        <f aca="false">SUMIF('LT records'!$D$3:$D$1001,$O11&amp;"-"&amp;S$2,'LT records'!$H$3:$H$1001)+SUMIF('LT records'!$D$3:$D$1001,$O11&amp;"-"&amp;S$2,'LT records'!$I$3:$I$1001)</f>
        <v>9092.44</v>
      </c>
      <c r="T11" s="263" t="n">
        <f aca="false">SUMIF('LT records'!$D$3:$D$1001,$O11&amp;"-"&amp;T$2,'LT records'!$H$3:$H$1001)+SUMIF('LT records'!$D$3:$D$1001,$O11&amp;"-"&amp;T$2,'LT records'!$I$3:$I$1001)</f>
        <v>6957.01</v>
      </c>
      <c r="U11" s="263" t="n">
        <f aca="false">SUMIF('LT records'!$D$3:$D$1001,$O11&amp;"-"&amp;U$2,'LT records'!$H$3:$H$1001)+SUMIF('LT records'!$D$3:$D$1001,$O11&amp;"-"&amp;U$2,'LT records'!$I$3:$I$1001)</f>
        <v>6262.16</v>
      </c>
      <c r="V11" s="263" t="n">
        <f aca="false">SUMIF('LT records'!$D$3:$D$1001,$O11&amp;"-"&amp;V$2,'LT records'!$H$3:$H$1001)+SUMIF('LT records'!$D$3:$D$1001,$O11&amp;"-"&amp;V$2,'LT records'!$I$3:$I$1001)</f>
        <v>8252.94</v>
      </c>
      <c r="W11" s="263" t="n">
        <f aca="false">SUMIF('LT records'!$D$3:$D$1001,$O11&amp;"-"&amp;W$2,'LT records'!$H$3:$H$1001)+SUMIF('LT records'!$D$3:$D$1001,$O11&amp;"-"&amp;W$2,'LT records'!$I$3:$I$1001)</f>
        <v>-5225.83</v>
      </c>
      <c r="X11" s="263" t="n">
        <f aca="false">SUMIF('LT records'!$D$3:$D$1001,$O11&amp;"-"&amp;X$2,'LT records'!$H$3:$H$1001)+SUMIF('LT records'!$D$3:$D$1001,$O11&amp;"-"&amp;X$2,'LT records'!$I$3:$I$1001)</f>
        <v>-7472.11</v>
      </c>
      <c r="Y11" s="263" t="n">
        <f aca="false">SUMIF('LT records'!$D$3:$D$1001,$O11&amp;"-"&amp;Y$2,'LT records'!$H$3:$H$1001)+SUMIF('LT records'!$D$3:$D$1001,$O11&amp;"-"&amp;Y$2,'LT records'!$I$3:$I$1001)</f>
        <v>-1426.03</v>
      </c>
      <c r="Z11" s="263" t="n">
        <f aca="false">SUMIF('LT records'!$D$3:$D$1001,$O11&amp;"-"&amp;Z$2,'LT records'!$H$3:$H$1001)+SUMIF('LT records'!$D$3:$D$1001,$O11&amp;"-"&amp;Z$2,'LT records'!$I$3:$I$1001)</f>
        <v>-7173.98</v>
      </c>
      <c r="AA11" s="263" t="n">
        <f aca="false">SUMIF('LT records'!$D$3:$D$1001,$O11&amp;"-"&amp;AA$2,'LT records'!$H$3:$H$1001)+SUMIF('LT records'!$D$3:$D$1001,$O11&amp;"-"&amp;AA$2,'LT records'!$I$3:$I$1001)</f>
        <v>-3249</v>
      </c>
      <c r="AB11" s="263" t="n">
        <f aca="false">SUMIF('LT records'!$D$3:$D$1001,$O11&amp;"-"&amp;AB$2,'LT records'!$H$3:$H$1001)+SUMIF('LT records'!$D$3:$D$1001,$O11&amp;"-"&amp;AB$2,'LT records'!$I$3:$I$1001)</f>
        <v>-2769.508434</v>
      </c>
      <c r="AC11" s="263" t="n">
        <f aca="false">SUMIF('LT records'!$D$3:$D$1001,$O11&amp;"-"&amp;AC$2,'LT records'!$H$3:$H$1001)+SUMIF('LT records'!$D$3:$D$1001,$O11&amp;"-"&amp;AC$2,'LT records'!$I$3:$I$1001)</f>
        <v>-8364.63</v>
      </c>
      <c r="AD11" s="263" t="n">
        <f aca="false">SUMIF('LT records'!$D$3:$D$1001,$O11&amp;"-"&amp;AD$2,'LT records'!$H$3:$H$1001)+SUMIF('LT records'!$D$3:$D$1001,$O11&amp;"-"&amp;AD$2,'LT records'!$I$3:$I$1001)</f>
        <v>-3207.79</v>
      </c>
    </row>
    <row r="12" customFormat="false" ht="12.8" hidden="false" customHeight="false" outlineLevel="0" collapsed="false">
      <c r="B12" s="264" t="s">
        <v>305</v>
      </c>
      <c r="C12" s="265" t="s">
        <v>292</v>
      </c>
      <c r="D12" s="266" t="s">
        <v>305</v>
      </c>
      <c r="E12" s="267" t="s">
        <v>293</v>
      </c>
      <c r="F12" s="265" t="n">
        <f aca="false">ROUND(SUMIF('LT records'!$E$3:$E$1001,$B12,'LT records'!$H$3:$H$1001)+G12,2)</f>
        <v>15760.46</v>
      </c>
      <c r="G12" s="268" t="n">
        <f aca="false">SUMIF('LT records'!$E$3:$E$1001,$B12,'LT records'!$I$3:$I$1001)</f>
        <v>1574.37</v>
      </c>
      <c r="H12" s="268" t="n">
        <f aca="false">SUMIF('LT records'!$E$3:$E$1001,$B12,'LT records'!$K$3:$K$1001)</f>
        <v>0</v>
      </c>
      <c r="I12" s="269" t="str">
        <f aca="false">IF(J12="","0-no date",YEAR(J12)&amp;"-"&amp;IF(MONTH(J12)&lt;10,"0"&amp;MONTH(J12),MONTH(J12)))</f>
        <v>2023-10</v>
      </c>
      <c r="J12" s="270" t="n">
        <v>45203</v>
      </c>
      <c r="K12" s="271" t="str">
        <f aca="false">IF(J12=MIN($J$3:$J$22),"***","")</f>
        <v/>
      </c>
      <c r="M12" s="277" t="s">
        <v>306</v>
      </c>
      <c r="O12" s="260" t="n">
        <v>2021</v>
      </c>
      <c r="P12" s="273" t="n">
        <f aca="false">SUMIF('LT records'!$C$3:$C$1001,$O12,'LT records'!$H$3:$H$1001)+SUMIF('LT records'!$C$3:$C$1001,$O12,'LT records'!$I$3:$I$1001)+R12</f>
        <v>15292.79</v>
      </c>
      <c r="Q12" s="273" t="n">
        <f aca="true">P12/IF($O12=YEAR(TODAY()),MONTH(TODAY()),12)</f>
        <v>1274.39916666667</v>
      </c>
      <c r="R12" s="262"/>
      <c r="S12" s="263" t="n">
        <f aca="false">SUMIF('LT records'!$D$3:$D$1001,$O12&amp;"-"&amp;S$2,'LT records'!$H$3:$H$1001)+SUMIF('LT records'!$D$3:$D$1001,$O12&amp;"-"&amp;S$2,'LT records'!$I$3:$I$1001)</f>
        <v>106.77</v>
      </c>
      <c r="T12" s="263" t="n">
        <f aca="false">SUMIF('LT records'!$D$3:$D$1001,$O12&amp;"-"&amp;T$2,'LT records'!$H$3:$H$1001)+SUMIF('LT records'!$D$3:$D$1001,$O12&amp;"-"&amp;T$2,'LT records'!$I$3:$I$1001)</f>
        <v>-3338.56</v>
      </c>
      <c r="U12" s="263" t="n">
        <f aca="false">SUMIF('LT records'!$D$3:$D$1001,$O12&amp;"-"&amp;U$2,'LT records'!$H$3:$H$1001)+SUMIF('LT records'!$D$3:$D$1001,$O12&amp;"-"&amp;U$2,'LT records'!$I$3:$I$1001)</f>
        <v>913.56</v>
      </c>
      <c r="V12" s="263" t="n">
        <f aca="false">SUMIF('LT records'!$D$3:$D$1001,$O12&amp;"-"&amp;V$2,'LT records'!$H$3:$H$1001)+SUMIF('LT records'!$D$3:$D$1001,$O12&amp;"-"&amp;V$2,'LT records'!$I$3:$I$1001)</f>
        <v>-1667.36</v>
      </c>
      <c r="W12" s="263" t="n">
        <f aca="false">SUMIF('LT records'!$D$3:$D$1001,$O12&amp;"-"&amp;W$2,'LT records'!$H$3:$H$1001)+SUMIF('LT records'!$D$3:$D$1001,$O12&amp;"-"&amp;W$2,'LT records'!$I$3:$I$1001)</f>
        <v>636.32</v>
      </c>
      <c r="X12" s="263" t="n">
        <f aca="false">SUMIF('LT records'!$D$3:$D$1001,$O12&amp;"-"&amp;X$2,'LT records'!$H$3:$H$1001)+SUMIF('LT records'!$D$3:$D$1001,$O12&amp;"-"&amp;X$2,'LT records'!$I$3:$I$1001)</f>
        <v>2248.34</v>
      </c>
      <c r="Y12" s="263" t="n">
        <f aca="false">SUMIF('LT records'!$D$3:$D$1001,$O12&amp;"-"&amp;Y$2,'LT records'!$H$3:$H$1001)+SUMIF('LT records'!$D$3:$D$1001,$O12&amp;"-"&amp;Y$2,'LT records'!$I$3:$I$1001)</f>
        <v>1939.82</v>
      </c>
      <c r="Z12" s="263" t="n">
        <f aca="false">SUMIF('LT records'!$D$3:$D$1001,$O12&amp;"-"&amp;Z$2,'LT records'!$H$3:$H$1001)+SUMIF('LT records'!$D$3:$D$1001,$O12&amp;"-"&amp;Z$2,'LT records'!$I$3:$I$1001)</f>
        <v>889.38</v>
      </c>
      <c r="AA12" s="263" t="n">
        <f aca="false">SUMIF('LT records'!$D$3:$D$1001,$O12&amp;"-"&amp;AA$2,'LT records'!$H$3:$H$1001)+SUMIF('LT records'!$D$3:$D$1001,$O12&amp;"-"&amp;AA$2,'LT records'!$I$3:$I$1001)</f>
        <v>1605.32</v>
      </c>
      <c r="AB12" s="263" t="n">
        <f aca="false">SUMIF('LT records'!$D$3:$D$1001,$O12&amp;"-"&amp;AB$2,'LT records'!$H$3:$H$1001)+SUMIF('LT records'!$D$3:$D$1001,$O12&amp;"-"&amp;AB$2,'LT records'!$I$3:$I$1001)</f>
        <v>3750.05</v>
      </c>
      <c r="AC12" s="263" t="n">
        <f aca="false">SUMIF('LT records'!$D$3:$D$1001,$O12&amp;"-"&amp;AC$2,'LT records'!$H$3:$H$1001)+SUMIF('LT records'!$D$3:$D$1001,$O12&amp;"-"&amp;AC$2,'LT records'!$I$3:$I$1001)</f>
        <v>7026.25</v>
      </c>
      <c r="AD12" s="263" t="n">
        <f aca="false">SUMIF('LT records'!$D$3:$D$1001,$O12&amp;"-"&amp;AD$2,'LT records'!$H$3:$H$1001)+SUMIF('LT records'!$D$3:$D$1001,$O12&amp;"-"&amp;AD$2,'LT records'!$I$3:$I$1001)</f>
        <v>1182.9</v>
      </c>
    </row>
    <row r="13" customFormat="false" ht="12.8" hidden="false" customHeight="false" outlineLevel="0" collapsed="false">
      <c r="B13" s="264" t="s">
        <v>307</v>
      </c>
      <c r="C13" s="265" t="s">
        <v>292</v>
      </c>
      <c r="D13" s="266" t="s">
        <v>307</v>
      </c>
      <c r="E13" s="267" t="s">
        <v>293</v>
      </c>
      <c r="F13" s="265" t="n">
        <f aca="false">ROUND(SUMIF('LT records'!$E$3:$E$1001,$B13,'LT records'!$H$3:$H$1001)+G13,2)</f>
        <v>15639.54</v>
      </c>
      <c r="G13" s="278" t="n">
        <f aca="false">SUMIF('LT records'!$E$3:$E$1001,$B13,'LT records'!$I$3:$I$1001)</f>
        <v>1129.54</v>
      </c>
      <c r="H13" s="278" t="n">
        <f aca="false">SUMIF('LT records'!$E$3:$E$1001,$B13,'LT records'!$K$3:$K$1001)</f>
        <v>0</v>
      </c>
      <c r="I13" s="269" t="str">
        <f aca="false">IF(J13="","0-no date",YEAR(J13)&amp;"-"&amp;IF(MONTH(J13)&lt;10,"0"&amp;MONTH(J13),MONTH(J13)))</f>
        <v>2023-11</v>
      </c>
      <c r="J13" s="270" t="n">
        <v>45233</v>
      </c>
      <c r="K13" s="271" t="str">
        <f aca="false">IF(J13=MIN($J$3:$J$22),"***","")</f>
        <v/>
      </c>
      <c r="M13" s="233" t="n">
        <f aca="false">M11/(COUNTIF(P3:P17,"&gt;0")+1)</f>
        <v>2221.53083333333</v>
      </c>
      <c r="O13" s="260" t="n">
        <v>2022</v>
      </c>
      <c r="P13" s="273" t="n">
        <f aca="false">SUMIF('LT records'!$C$3:$C$1001,$O13,'LT records'!$H$3:$H$1001)+SUMIF('LT records'!$C$3:$C$1001,$O13,'LT records'!$I$3:$I$1001)+R13</f>
        <v>11997.46</v>
      </c>
      <c r="Q13" s="273" t="n">
        <f aca="true">P13/IF($O13=YEAR(TODAY()),MONTH(TODAY()),12)</f>
        <v>999.788333333333</v>
      </c>
      <c r="R13" s="262" t="n">
        <f aca="false">4500</f>
        <v>4500</v>
      </c>
      <c r="S13" s="263" t="n">
        <f aca="false">SUMIF('LT records'!$D$3:$D$1001,$O13&amp;"-"&amp;S$2,'LT records'!$H$3:$H$1001)+SUMIF('LT records'!$D$3:$D$1001,$O13&amp;"-"&amp;S$2,'LT records'!$I$3:$I$1001)</f>
        <v>5302.08</v>
      </c>
      <c r="T13" s="263" t="n">
        <f aca="false">SUMIF('LT records'!$D$3:$D$1001,$O13&amp;"-"&amp;T$2,'LT records'!$H$3:$H$1001)+SUMIF('LT records'!$D$3:$D$1001,$O13&amp;"-"&amp;T$2,'LT records'!$I$3:$I$1001)</f>
        <v>3868.94</v>
      </c>
      <c r="U13" s="263" t="n">
        <f aca="false">SUMIF('LT records'!$D$3:$D$1001,$O13&amp;"-"&amp;U$2,'LT records'!$H$3:$H$1001)+SUMIF('LT records'!$D$3:$D$1001,$O13&amp;"-"&amp;U$2,'LT records'!$I$3:$I$1001)</f>
        <v>-2101.45</v>
      </c>
      <c r="V13" s="263" t="n">
        <f aca="false">SUMIF('LT records'!$D$3:$D$1001,$O13&amp;"-"&amp;V$2,'LT records'!$H$3:$H$1001)+SUMIF('LT records'!$D$3:$D$1001,$O13&amp;"-"&amp;V$2,'LT records'!$I$3:$I$1001)</f>
        <v>2535.48</v>
      </c>
      <c r="W13" s="263" t="n">
        <f aca="false">SUMIF('LT records'!$D$3:$D$1001,$O13&amp;"-"&amp;W$2,'LT records'!$H$3:$H$1001)+SUMIF('LT records'!$D$3:$D$1001,$O13&amp;"-"&amp;W$2,'LT records'!$I$3:$I$1001)</f>
        <v>355.99</v>
      </c>
      <c r="X13" s="263" t="n">
        <f aca="false">SUMIF('LT records'!$D$3:$D$1001,$O13&amp;"-"&amp;X$2,'LT records'!$H$3:$H$1001)+SUMIF('LT records'!$D$3:$D$1001,$O13&amp;"-"&amp;X$2,'LT records'!$I$3:$I$1001)</f>
        <v>-38.84</v>
      </c>
      <c r="Y13" s="263" t="n">
        <f aca="false">SUMIF('LT records'!$D$3:$D$1001,$O13&amp;"-"&amp;Y$2,'LT records'!$H$3:$H$1001)+SUMIF('LT records'!$D$3:$D$1001,$O13&amp;"-"&amp;Y$2,'LT records'!$I$3:$I$1001)</f>
        <v>-696.52</v>
      </c>
      <c r="Z13" s="263" t="n">
        <f aca="false">SUMIF('LT records'!$D$3:$D$1001,$O13&amp;"-"&amp;Z$2,'LT records'!$H$3:$H$1001)+SUMIF('LT records'!$D$3:$D$1001,$O13&amp;"-"&amp;Z$2,'LT records'!$I$3:$I$1001)</f>
        <v>-383.8</v>
      </c>
      <c r="AA13" s="263" t="n">
        <f aca="false">SUMIF('LT records'!$D$3:$D$1001,$O13&amp;"-"&amp;AA$2,'LT records'!$H$3:$H$1001)+SUMIF('LT records'!$D$3:$D$1001,$O13&amp;"-"&amp;AA$2,'LT records'!$I$3:$I$1001)</f>
        <v>-899.12</v>
      </c>
      <c r="AB13" s="263" t="n">
        <f aca="false">SUMIF('LT records'!$D$3:$D$1001,$O13&amp;"-"&amp;AB$2,'LT records'!$H$3:$H$1001)+SUMIF('LT records'!$D$3:$D$1001,$O13&amp;"-"&amp;AB$2,'LT records'!$I$3:$I$1001)</f>
        <v>250.84</v>
      </c>
      <c r="AC13" s="263" t="n">
        <f aca="false">SUMIF('LT records'!$D$3:$D$1001,$O13&amp;"-"&amp;AC$2,'LT records'!$H$3:$H$1001)+SUMIF('LT records'!$D$3:$D$1001,$O13&amp;"-"&amp;AC$2,'LT records'!$I$3:$I$1001)</f>
        <v>-72.459999999999</v>
      </c>
      <c r="AD13" s="263" t="n">
        <f aca="false">SUMIF('LT records'!$D$3:$D$1001,$O13&amp;"-"&amp;AD$2,'LT records'!$H$3:$H$1001)+SUMIF('LT records'!$D$3:$D$1001,$O13&amp;"-"&amp;AD$2,'LT records'!$I$3:$I$1001)</f>
        <v>-623.68</v>
      </c>
    </row>
    <row r="14" customFormat="false" ht="12.8" hidden="false" customHeight="false" outlineLevel="0" collapsed="false">
      <c r="B14" s="264" t="s">
        <v>308</v>
      </c>
      <c r="C14" s="265" t="s">
        <v>292</v>
      </c>
      <c r="D14" s="266" t="s">
        <v>308</v>
      </c>
      <c r="E14" s="267" t="s">
        <v>293</v>
      </c>
      <c r="F14" s="265" t="n">
        <f aca="false">ROUND(SUMIF('LT records'!$E$3:$E$1001,$B14,'LT records'!$H$3:$H$1001)+G14,2)</f>
        <v>16313.97</v>
      </c>
      <c r="G14" s="268" t="n">
        <f aca="false">SUMIF('LT records'!$E$3:$E$1001,$B14,'LT records'!$I$3:$I$1001)</f>
        <v>1585.66</v>
      </c>
      <c r="H14" s="268" t="n">
        <f aca="false">SUMIF('LT records'!$E$3:$E$1001,$B14,'LT records'!$K$3:$K$1001)</f>
        <v>0</v>
      </c>
      <c r="I14" s="269" t="str">
        <f aca="false">IF(J14="","0-no date",YEAR(J14)&amp;"-"&amp;IF(MONTH(J14)&lt;10,"0"&amp;MONTH(J14),MONTH(J14)))</f>
        <v>2023-12</v>
      </c>
      <c r="J14" s="270" t="n">
        <v>45266</v>
      </c>
      <c r="K14" s="271" t="str">
        <f aca="false">IF(J14=MIN($J$3:$J$22),"***","")</f>
        <v/>
      </c>
      <c r="O14" s="260" t="n">
        <v>2023</v>
      </c>
      <c r="P14" s="273" t="n">
        <f aca="false">SUMIF('LT records'!$C$3:$C$1001,$O14,'LT records'!$H$3:$H$1001)+SUMIF('LT records'!$C$3:$C$1001,$O14,'LT records'!$I$3:$I$1001)+R14</f>
        <v>22419.23</v>
      </c>
      <c r="Q14" s="273" t="n">
        <f aca="true">P14/IF($O14=YEAR(TODAY()),MONTH(TODAY()),12)</f>
        <v>2802.40375</v>
      </c>
      <c r="R14" s="262" t="n">
        <f aca="false">2500</f>
        <v>2500</v>
      </c>
      <c r="S14" s="263" t="n">
        <f aca="false">SUMIF('LT records'!$D$3:$D$1001,$O14&amp;"-"&amp;S$2,'LT records'!$H$3:$H$1001)+SUMIF('LT records'!$D$3:$D$1001,$O14&amp;"-"&amp;S$2,'LT records'!$I$3:$I$1001)</f>
        <v>-286.32</v>
      </c>
      <c r="T14" s="263" t="n">
        <f aca="false">SUMIF('LT records'!$D$3:$D$1001,$O14&amp;"-"&amp;T$2,'LT records'!$H$3:$H$1001)+SUMIF('LT records'!$D$3:$D$1001,$O14&amp;"-"&amp;T$2,'LT records'!$I$3:$I$1001)</f>
        <v>289.810000000001</v>
      </c>
      <c r="U14" s="263" t="n">
        <f aca="false">SUMIF('LT records'!$D$3:$D$1001,$O14&amp;"-"&amp;U$2,'LT records'!$H$3:$H$1001)+SUMIF('LT records'!$D$3:$D$1001,$O14&amp;"-"&amp;U$2,'LT records'!$I$3:$I$1001)</f>
        <v>102.36</v>
      </c>
      <c r="V14" s="263" t="n">
        <f aca="false">SUMIF('LT records'!$D$3:$D$1001,$O14&amp;"-"&amp;V$2,'LT records'!$H$3:$H$1001)+SUMIF('LT records'!$D$3:$D$1001,$O14&amp;"-"&amp;V$2,'LT records'!$I$3:$I$1001)</f>
        <v>268.7</v>
      </c>
      <c r="W14" s="263" t="n">
        <f aca="false">SUMIF('LT records'!$D$3:$D$1001,$O14&amp;"-"&amp;W$2,'LT records'!$H$3:$H$1001)+SUMIF('LT records'!$D$3:$D$1001,$O14&amp;"-"&amp;W$2,'LT records'!$I$3:$I$1001)</f>
        <v>297.77</v>
      </c>
      <c r="X14" s="263" t="n">
        <f aca="false">SUMIF('LT records'!$D$3:$D$1001,$O14&amp;"-"&amp;X$2,'LT records'!$H$3:$H$1001)+SUMIF('LT records'!$D$3:$D$1001,$O14&amp;"-"&amp;X$2,'LT records'!$I$3:$I$1001)</f>
        <v>-814.53</v>
      </c>
      <c r="Y14" s="263" t="n">
        <f aca="false">SUMIF('LT records'!$D$3:$D$1001,$O14&amp;"-"&amp;Y$2,'LT records'!$H$3:$H$1001)+SUMIF('LT records'!$D$3:$D$1001,$O14&amp;"-"&amp;Y$2,'LT records'!$I$3:$I$1001)</f>
        <v>2221.88</v>
      </c>
      <c r="Z14" s="263" t="n">
        <f aca="false">SUMIF('LT records'!$D$3:$D$1001,$O14&amp;"-"&amp;Z$2,'LT records'!$H$3:$H$1001)+SUMIF('LT records'!$D$3:$D$1001,$O14&amp;"-"&amp;Z$2,'LT records'!$I$3:$I$1001)</f>
        <v>17839.56</v>
      </c>
      <c r="AA14" s="263" t="n">
        <f aca="false">SUMIF('LT records'!$D$3:$D$1001,$O14&amp;"-"&amp;AA$2,'LT records'!$H$3:$H$1001)+SUMIF('LT records'!$D$3:$D$1001,$O14&amp;"-"&amp;AA$2,'LT records'!$I$3:$I$1001)</f>
        <v>0</v>
      </c>
      <c r="AB14" s="263" t="n">
        <f aca="false">SUMIF('LT records'!$D$3:$D$1001,$O14&amp;"-"&amp;AB$2,'LT records'!$H$3:$H$1001)+SUMIF('LT records'!$D$3:$D$1001,$O14&amp;"-"&amp;AB$2,'LT records'!$I$3:$I$1001)</f>
        <v>0</v>
      </c>
      <c r="AC14" s="263" t="n">
        <f aca="false">SUMIF('LT records'!$D$3:$D$1001,$O14&amp;"-"&amp;AC$2,'LT records'!$H$3:$H$1001)+SUMIF('LT records'!$D$3:$D$1001,$O14&amp;"-"&amp;AC$2,'LT records'!$I$3:$I$1001)</f>
        <v>0</v>
      </c>
      <c r="AD14" s="263" t="n">
        <f aca="false">SUMIF('LT records'!$D$3:$D$1001,$O14&amp;"-"&amp;AD$2,'LT records'!$H$3:$H$1001)+SUMIF('LT records'!$D$3:$D$1001,$O14&amp;"-"&amp;AD$2,'LT records'!$I$3:$I$1001)</f>
        <v>0</v>
      </c>
    </row>
    <row r="15" customFormat="false" ht="12.8" hidden="false" customHeight="false" outlineLevel="0" collapsed="false">
      <c r="B15" s="279"/>
      <c r="C15" s="280"/>
      <c r="D15" s="281"/>
      <c r="E15" s="282"/>
      <c r="F15" s="280" t="n">
        <f aca="false">ROUND(SUMIF('LT records'!$E$3:$E$1001,$B15,'LT records'!$H$3:$H$1001)+G15,2)</f>
        <v>0</v>
      </c>
      <c r="G15" s="280" t="n">
        <f aca="false">SUMIF('LT records'!$E$3:$E$1001,$B15,'LT records'!$I$3:$I$1001)</f>
        <v>0</v>
      </c>
      <c r="H15" s="280" t="n">
        <f aca="false">SUMIF('LT records'!$E$3:$E$1001,$B15,'LT records'!$K$3:$K$1001)</f>
        <v>0</v>
      </c>
      <c r="I15" s="269" t="str">
        <f aca="false">IF(J15="","0-no date",YEAR(J15)&amp;"-"&amp;IF(MONTH(J15)&lt;10,"0"&amp;MONTH(J15),MONTH(J15)))</f>
        <v>0-no date</v>
      </c>
      <c r="J15" s="270"/>
      <c r="K15" s="271" t="str">
        <f aca="false">IF(J15=MIN($J$3:$J$22),"***","")</f>
        <v/>
      </c>
      <c r="O15" s="260" t="n">
        <v>2024</v>
      </c>
      <c r="P15" s="273" t="n">
        <f aca="false">SUMIF('LT records'!$C$3:$C$1001,$O15,'LT records'!$H$3:$H$1001)+SUMIF('LT records'!$C$3:$C$1001,$O15,'LT records'!$I$3:$I$1001)+R15</f>
        <v>0</v>
      </c>
      <c r="Q15" s="273" t="n">
        <f aca="true">P15/IF($O15=YEAR(TODAY()),MONTH(TODAY()),12)</f>
        <v>0</v>
      </c>
      <c r="R15" s="262" t="n">
        <f aca="false">SUMIF('LT records'!$D$3:$D$1001,$O15&amp;"-"&amp;R$2,'LT records'!$H$3:$H$1001)+SUMIF('LT records'!$D$3:$D$1001,$O15&amp;"-"&amp;R$2,'LT records'!$I$3:$I$1001)</f>
        <v>0</v>
      </c>
      <c r="S15" s="263" t="n">
        <f aca="false">SUMIF('LT records'!$D$3:$D$1001,$O15&amp;"-"&amp;S$2,'LT records'!$H$3:$H$1001)+SUMIF('LT records'!$D$3:$D$1001,$O15&amp;"-"&amp;S$2,'LT records'!$I$3:$I$1001)</f>
        <v>0</v>
      </c>
      <c r="T15" s="263" t="n">
        <f aca="false">SUMIF('LT records'!$D$3:$D$1001,$O15&amp;"-"&amp;T$2,'LT records'!$H$3:$H$1001)+SUMIF('LT records'!$D$3:$D$1001,$O15&amp;"-"&amp;T$2,'LT records'!$I$3:$I$1001)</f>
        <v>0</v>
      </c>
      <c r="U15" s="263" t="n">
        <f aca="false">SUMIF('LT records'!$D$3:$D$1001,$O15&amp;"-"&amp;U$2,'LT records'!$H$3:$H$1001)+SUMIF('LT records'!$D$3:$D$1001,$O15&amp;"-"&amp;U$2,'LT records'!$I$3:$I$1001)</f>
        <v>0</v>
      </c>
      <c r="V15" s="263" t="n">
        <f aca="false">SUMIF('LT records'!$D$3:$D$1001,$O15&amp;"-"&amp;V$2,'LT records'!$H$3:$H$1001)+SUMIF('LT records'!$D$3:$D$1001,$O15&amp;"-"&amp;V$2,'LT records'!$I$3:$I$1001)</f>
        <v>0</v>
      </c>
      <c r="W15" s="263" t="n">
        <f aca="false">SUMIF('LT records'!$D$3:$D$1001,$O15&amp;"-"&amp;W$2,'LT records'!$H$3:$H$1001)+SUMIF('LT records'!$D$3:$D$1001,$O15&amp;"-"&amp;W$2,'LT records'!$I$3:$I$1001)</f>
        <v>0</v>
      </c>
      <c r="X15" s="263" t="n">
        <f aca="false">SUMIF('LT records'!$D$3:$D$1001,$O15&amp;"-"&amp;X$2,'LT records'!$H$3:$H$1001)+SUMIF('LT records'!$D$3:$D$1001,$O15&amp;"-"&amp;X$2,'LT records'!$I$3:$I$1001)</f>
        <v>0</v>
      </c>
      <c r="Y15" s="263" t="n">
        <f aca="false">SUMIF('LT records'!$D$3:$D$1001,$O15&amp;"-"&amp;Y$2,'LT records'!$H$3:$H$1001)+SUMIF('LT records'!$D$3:$D$1001,$O15&amp;"-"&amp;Y$2,'LT records'!$I$3:$I$1001)</f>
        <v>0</v>
      </c>
      <c r="Z15" s="263" t="n">
        <f aca="false">SUMIF('LT records'!$D$3:$D$1001,$O15&amp;"-"&amp;Z$2,'LT records'!$H$3:$H$1001)+SUMIF('LT records'!$D$3:$D$1001,$O15&amp;"-"&amp;Z$2,'LT records'!$I$3:$I$1001)</f>
        <v>0</v>
      </c>
      <c r="AA15" s="263" t="n">
        <f aca="false">SUMIF('LT records'!$D$3:$D$1001,$O15&amp;"-"&amp;AA$2,'LT records'!$H$3:$H$1001)+SUMIF('LT records'!$D$3:$D$1001,$O15&amp;"-"&amp;AA$2,'LT records'!$I$3:$I$1001)</f>
        <v>0</v>
      </c>
      <c r="AB15" s="263" t="n">
        <f aca="false">SUMIF('LT records'!$D$3:$D$1001,$O15&amp;"-"&amp;AB$2,'LT records'!$H$3:$H$1001)+SUMIF('LT records'!$D$3:$D$1001,$O15&amp;"-"&amp;AB$2,'LT records'!$I$3:$I$1001)</f>
        <v>0</v>
      </c>
      <c r="AC15" s="263" t="n">
        <f aca="false">SUMIF('LT records'!$D$3:$D$1001,$O15&amp;"-"&amp;AC$2,'LT records'!$H$3:$H$1001)+SUMIF('LT records'!$D$3:$D$1001,$O15&amp;"-"&amp;AC$2,'LT records'!$I$3:$I$1001)</f>
        <v>0</v>
      </c>
      <c r="AD15" s="263" t="n">
        <f aca="false">SUMIF('LT records'!$D$3:$D$1001,$O15&amp;"-"&amp;AD$2,'LT records'!$H$3:$H$1001)+SUMIF('LT records'!$D$3:$D$1001,$O15&amp;"-"&amp;AD$2,'LT records'!$I$3:$I$1001)</f>
        <v>0</v>
      </c>
    </row>
    <row r="16" customFormat="false" ht="12.8" hidden="false" customHeight="false" outlineLevel="0" collapsed="false">
      <c r="B16" s="279"/>
      <c r="C16" s="280"/>
      <c r="D16" s="281"/>
      <c r="E16" s="282"/>
      <c r="F16" s="280" t="n">
        <f aca="false">ROUND(SUMIF('LT records'!$E$3:$E$1001,$B16,'LT records'!$H$3:$H$1001)+G16,2)</f>
        <v>0</v>
      </c>
      <c r="G16" s="280" t="n">
        <f aca="false">SUMIF('LT records'!$E$3:$E$1001,$B16,'LT records'!$I$3:$I$1001)</f>
        <v>0</v>
      </c>
      <c r="H16" s="280" t="n">
        <f aca="false">SUMIF('LT records'!$E$3:$E$1001,$B16,'LT records'!$K$3:$K$1001)</f>
        <v>0</v>
      </c>
      <c r="I16" s="269" t="str">
        <f aca="false">IF(J16="","0-no date",YEAR(J16)&amp;"-"&amp;IF(MONTH(J16)&lt;10,"0"&amp;MONTH(J16),MONTH(J16)))</f>
        <v>0-no date</v>
      </c>
      <c r="J16" s="270"/>
      <c r="K16" s="271" t="str">
        <f aca="false">IF(J16=MIN($J$3:$J$22),"***","")</f>
        <v/>
      </c>
      <c r="O16" s="260" t="n">
        <v>2025</v>
      </c>
      <c r="P16" s="273" t="n">
        <f aca="false">SUMIF('LT records'!$C$3:$C$1001,$O16,'LT records'!$H$3:$H$1001)+SUMIF('LT records'!$C$3:$C$1001,$O16,'LT records'!$I$3:$I$1001)+R16</f>
        <v>0</v>
      </c>
      <c r="Q16" s="273" t="n">
        <f aca="true">P16/IF($O16=YEAR(TODAY()),MONTH(TODAY()),12)</f>
        <v>0</v>
      </c>
      <c r="R16" s="262" t="n">
        <f aca="false">SUMIF('LT records'!$D$3:$D$1001,$O16&amp;"-"&amp;R$2,'LT records'!$H$3:$H$1001)+SUMIF('LT records'!$D$3:$D$1001,$O16&amp;"-"&amp;R$2,'LT records'!$I$3:$I$1001)</f>
        <v>0</v>
      </c>
      <c r="S16" s="263" t="n">
        <f aca="false">SUMIF('LT records'!$D$3:$D$1001,$O16&amp;"-"&amp;S$2,'LT records'!$H$3:$H$1001)+SUMIF('LT records'!$D$3:$D$1001,$O16&amp;"-"&amp;S$2,'LT records'!$I$3:$I$1001)</f>
        <v>0</v>
      </c>
      <c r="T16" s="263" t="n">
        <f aca="false">SUMIF('LT records'!$D$3:$D$1001,$O16&amp;"-"&amp;T$2,'LT records'!$H$3:$H$1001)+SUMIF('LT records'!$D$3:$D$1001,$O16&amp;"-"&amp;T$2,'LT records'!$I$3:$I$1001)</f>
        <v>0</v>
      </c>
      <c r="U16" s="263" t="n">
        <f aca="false">SUMIF('LT records'!$D$3:$D$1001,$O16&amp;"-"&amp;U$2,'LT records'!$H$3:$H$1001)+SUMIF('LT records'!$D$3:$D$1001,$O16&amp;"-"&amp;U$2,'LT records'!$I$3:$I$1001)</f>
        <v>0</v>
      </c>
      <c r="V16" s="263" t="n">
        <f aca="false">SUMIF('LT records'!$D$3:$D$1001,$O16&amp;"-"&amp;V$2,'LT records'!$H$3:$H$1001)+SUMIF('LT records'!$D$3:$D$1001,$O16&amp;"-"&amp;V$2,'LT records'!$I$3:$I$1001)</f>
        <v>0</v>
      </c>
      <c r="W16" s="263" t="n">
        <f aca="false">SUMIF('LT records'!$D$3:$D$1001,$O16&amp;"-"&amp;W$2,'LT records'!$H$3:$H$1001)+SUMIF('LT records'!$D$3:$D$1001,$O16&amp;"-"&amp;W$2,'LT records'!$I$3:$I$1001)</f>
        <v>0</v>
      </c>
      <c r="X16" s="263" t="n">
        <f aca="false">SUMIF('LT records'!$D$3:$D$1001,$O16&amp;"-"&amp;X$2,'LT records'!$H$3:$H$1001)+SUMIF('LT records'!$D$3:$D$1001,$O16&amp;"-"&amp;X$2,'LT records'!$I$3:$I$1001)</f>
        <v>0</v>
      </c>
      <c r="Y16" s="263" t="n">
        <f aca="false">SUMIF('LT records'!$D$3:$D$1001,$O16&amp;"-"&amp;Y$2,'LT records'!$H$3:$H$1001)+SUMIF('LT records'!$D$3:$D$1001,$O16&amp;"-"&amp;Y$2,'LT records'!$I$3:$I$1001)</f>
        <v>0</v>
      </c>
      <c r="Z16" s="263" t="n">
        <f aca="false">SUMIF('LT records'!$D$3:$D$1001,$O16&amp;"-"&amp;Z$2,'LT records'!$H$3:$H$1001)+SUMIF('LT records'!$D$3:$D$1001,$O16&amp;"-"&amp;Z$2,'LT records'!$I$3:$I$1001)</f>
        <v>0</v>
      </c>
      <c r="AA16" s="263" t="n">
        <f aca="false">SUMIF('LT records'!$D$3:$D$1001,$O16&amp;"-"&amp;AA$2,'LT records'!$H$3:$H$1001)+SUMIF('LT records'!$D$3:$D$1001,$O16&amp;"-"&amp;AA$2,'LT records'!$I$3:$I$1001)</f>
        <v>0</v>
      </c>
      <c r="AB16" s="263" t="n">
        <f aca="false">SUMIF('LT records'!$D$3:$D$1001,$O16&amp;"-"&amp;AB$2,'LT records'!$H$3:$H$1001)+SUMIF('LT records'!$D$3:$D$1001,$O16&amp;"-"&amp;AB$2,'LT records'!$I$3:$I$1001)</f>
        <v>0</v>
      </c>
      <c r="AC16" s="263" t="n">
        <f aca="false">SUMIF('LT records'!$D$3:$D$1001,$O16&amp;"-"&amp;AC$2,'LT records'!$H$3:$H$1001)+SUMIF('LT records'!$D$3:$D$1001,$O16&amp;"-"&amp;AC$2,'LT records'!$I$3:$I$1001)</f>
        <v>0</v>
      </c>
      <c r="AD16" s="263" t="n">
        <f aca="false">SUMIF('LT records'!$D$3:$D$1001,$O16&amp;"-"&amp;AD$2,'LT records'!$H$3:$H$1001)+SUMIF('LT records'!$D$3:$D$1001,$O16&amp;"-"&amp;AD$2,'LT records'!$I$3:$I$1001)</f>
        <v>0</v>
      </c>
    </row>
    <row r="17" customFormat="false" ht="12.8" hidden="false" customHeight="false" outlineLevel="0" collapsed="false">
      <c r="B17" s="279"/>
      <c r="C17" s="280"/>
      <c r="D17" s="281"/>
      <c r="E17" s="282"/>
      <c r="F17" s="280" t="n">
        <f aca="false">ROUND(SUMIF('LT records'!$E$3:$E$1001,$B17,'LT records'!$H$3:$H$1001)+G17,2)</f>
        <v>0</v>
      </c>
      <c r="G17" s="280" t="n">
        <f aca="false">SUMIF('LT records'!$E$3:$E$1001,$B17,'LT records'!$I$3:$I$1001)</f>
        <v>0</v>
      </c>
      <c r="H17" s="280" t="n">
        <f aca="false">SUMIF('LT records'!$E$3:$E$1001,$B17,'LT records'!$K$3:$K$1001)</f>
        <v>0</v>
      </c>
      <c r="I17" s="269" t="str">
        <f aca="false">IF(J17="","0-no date",YEAR(J17)&amp;"-"&amp;IF(MONTH(J17)&lt;10,"0"&amp;MONTH(J17),MONTH(J17)))</f>
        <v>0-no date</v>
      </c>
      <c r="J17" s="270"/>
      <c r="K17" s="271" t="str">
        <f aca="false">IF(J17=MIN($J$3:$J$22),"***","")</f>
        <v/>
      </c>
      <c r="N17" s="283"/>
      <c r="O17" s="260" t="n">
        <v>2026</v>
      </c>
      <c r="P17" s="284" t="n">
        <f aca="false">SUMIF('LT records'!$C$3:$C$1001,$O17,'LT records'!$H$3:$H$1001)+SUMIF('LT records'!$C$3:$C$1001,$O17,'LT records'!$I$3:$I$1001)+R17</f>
        <v>0</v>
      </c>
      <c r="Q17" s="284" t="n">
        <f aca="true">P17/IF($O17=YEAR(TODAY()),MONTH(TODAY()),12)</f>
        <v>0</v>
      </c>
      <c r="R17" s="262" t="n">
        <f aca="false">SUMIF('LT records'!$D$3:$D$1001,$O17&amp;"-"&amp;R$2,'LT records'!$H$3:$H$1001)+SUMIF('LT records'!$D$3:$D$1001,$O17&amp;"-"&amp;R$2,'LT records'!$I$3:$I$1001)</f>
        <v>0</v>
      </c>
      <c r="S17" s="263" t="n">
        <f aca="false">SUMIF('LT records'!$D$3:$D$1001,$O17&amp;"-"&amp;S$2,'LT records'!$H$3:$H$1001)+SUMIF('LT records'!$D$3:$D$1001,$O17&amp;"-"&amp;S$2,'LT records'!$I$3:$I$1001)</f>
        <v>0</v>
      </c>
      <c r="T17" s="263" t="n">
        <f aca="false">SUMIF('LT records'!$D$3:$D$1001,$O17&amp;"-"&amp;T$2,'LT records'!$H$3:$H$1001)+SUMIF('LT records'!$D$3:$D$1001,$O17&amp;"-"&amp;T$2,'LT records'!$I$3:$I$1001)</f>
        <v>0</v>
      </c>
      <c r="U17" s="263" t="n">
        <f aca="false">SUMIF('LT records'!$D$3:$D$1001,$O17&amp;"-"&amp;U$2,'LT records'!$H$3:$H$1001)+SUMIF('LT records'!$D$3:$D$1001,$O17&amp;"-"&amp;U$2,'LT records'!$I$3:$I$1001)</f>
        <v>0</v>
      </c>
      <c r="V17" s="263" t="n">
        <f aca="false">SUMIF('LT records'!$D$3:$D$1001,$O17&amp;"-"&amp;V$2,'LT records'!$H$3:$H$1001)+SUMIF('LT records'!$D$3:$D$1001,$O17&amp;"-"&amp;V$2,'LT records'!$I$3:$I$1001)</f>
        <v>0</v>
      </c>
      <c r="W17" s="263" t="n">
        <f aca="false">SUMIF('LT records'!$D$3:$D$1001,$O17&amp;"-"&amp;W$2,'LT records'!$H$3:$H$1001)+SUMIF('LT records'!$D$3:$D$1001,$O17&amp;"-"&amp;W$2,'LT records'!$I$3:$I$1001)</f>
        <v>0</v>
      </c>
      <c r="X17" s="263" t="n">
        <f aca="false">SUMIF('LT records'!$D$3:$D$1001,$O17&amp;"-"&amp;X$2,'LT records'!$H$3:$H$1001)+SUMIF('LT records'!$D$3:$D$1001,$O17&amp;"-"&amp;X$2,'LT records'!$I$3:$I$1001)</f>
        <v>0</v>
      </c>
      <c r="Y17" s="263" t="n">
        <f aca="false">SUMIF('LT records'!$D$3:$D$1001,$O17&amp;"-"&amp;Y$2,'LT records'!$H$3:$H$1001)+SUMIF('LT records'!$D$3:$D$1001,$O17&amp;"-"&amp;Y$2,'LT records'!$I$3:$I$1001)</f>
        <v>0</v>
      </c>
      <c r="Z17" s="263" t="n">
        <f aca="false">SUMIF('LT records'!$D$3:$D$1001,$O17&amp;"-"&amp;Z$2,'LT records'!$H$3:$H$1001)+SUMIF('LT records'!$D$3:$D$1001,$O17&amp;"-"&amp;Z$2,'LT records'!$I$3:$I$1001)</f>
        <v>0</v>
      </c>
      <c r="AA17" s="263" t="n">
        <f aca="false">SUMIF('LT records'!$D$3:$D$1001,$O17&amp;"-"&amp;AA$2,'LT records'!$H$3:$H$1001)+SUMIF('LT records'!$D$3:$D$1001,$O17&amp;"-"&amp;AA$2,'LT records'!$I$3:$I$1001)</f>
        <v>0</v>
      </c>
      <c r="AB17" s="263" t="n">
        <f aca="false">SUMIF('LT records'!$D$3:$D$1001,$O17&amp;"-"&amp;AB$2,'LT records'!$H$3:$H$1001)+SUMIF('LT records'!$D$3:$D$1001,$O17&amp;"-"&amp;AB$2,'LT records'!$I$3:$I$1001)</f>
        <v>0</v>
      </c>
      <c r="AC17" s="263" t="n">
        <f aca="false">SUMIF('LT records'!$D$3:$D$1001,$O17&amp;"-"&amp;AC$2,'LT records'!$H$3:$H$1001)+SUMIF('LT records'!$D$3:$D$1001,$O17&amp;"-"&amp;AC$2,'LT records'!$I$3:$I$1001)</f>
        <v>0</v>
      </c>
      <c r="AD17" s="263" t="n">
        <f aca="false">SUMIF('LT records'!$D$3:$D$1001,$O17&amp;"-"&amp;AD$2,'LT records'!$H$3:$H$1001)+SUMIF('LT records'!$D$3:$D$1001,$O17&amp;"-"&amp;AD$2,'LT records'!$I$3:$I$1001)</f>
        <v>0</v>
      </c>
    </row>
    <row r="18" s="283" customFormat="true" ht="12.8" hidden="false" customHeight="false" outlineLevel="0" collapsed="false">
      <c r="A18" s="63"/>
      <c r="B18" s="285" t="s">
        <v>14</v>
      </c>
      <c r="C18" s="286" t="s">
        <v>309</v>
      </c>
      <c r="D18" s="287" t="s">
        <v>14</v>
      </c>
      <c r="E18" s="288" t="s">
        <v>293</v>
      </c>
      <c r="F18" s="286" t="n">
        <f aca="false">ROUND(SUMIF('LT records'!$E$3:$E$1001,$B18,'LT records'!$H$3:$H$1001)+G18,2)</f>
        <v>17657.29</v>
      </c>
      <c r="G18" s="289" t="n">
        <f aca="false">SUMIF('LT records'!$E$3:$E$1001,$B18,'LT records'!$I$3:$I$1001)</f>
        <v>435.98</v>
      </c>
      <c r="H18" s="289" t="n">
        <f aca="false">SUMIF('LT records'!$E$3:$E$1001,$B18,'LT records'!$K$3:$K$1001)</f>
        <v>0</v>
      </c>
      <c r="I18" s="269" t="str">
        <f aca="false">IF(J18="","0-no date",YEAR(J18)&amp;"-"&amp;IF(MONTH(J18)&lt;10,"0"&amp;MONTH(J18),MONTH(J18)))</f>
        <v>0-no date</v>
      </c>
      <c r="J18" s="270"/>
      <c r="K18" s="271" t="str">
        <f aca="false">IF(J18=MIN($J$3:$J$22),"***","")</f>
        <v/>
      </c>
      <c r="L18" s="63"/>
      <c r="M18" s="233"/>
      <c r="O18" s="290" t="s">
        <v>310</v>
      </c>
      <c r="P18" s="291" t="n">
        <f aca="false">SUM(P3:P17)</f>
        <v>284016.791566</v>
      </c>
      <c r="Q18" s="291" t="n">
        <f aca="true">P18/((TODAY()-MIN('LT records'!$B$3:$B$1001))/365)</f>
        <v>13468.3810473678</v>
      </c>
      <c r="R18" s="292" t="n">
        <f aca="false">SUM(R3:R17)</f>
        <v>7000</v>
      </c>
      <c r="S18" s="293" t="n">
        <f aca="false">SUM(S3:S17)</f>
        <v>32937.17</v>
      </c>
      <c r="T18" s="293" t="n">
        <f aca="false">SUM(T3:T17)</f>
        <v>35701.19</v>
      </c>
      <c r="U18" s="293" t="n">
        <f aca="false">SUM(U3:U17)</f>
        <v>21210.19</v>
      </c>
      <c r="V18" s="293" t="n">
        <f aca="false">SUM(V3:V17)</f>
        <v>28107.96</v>
      </c>
      <c r="W18" s="293" t="n">
        <f aca="false">SUM(W3:W17)</f>
        <v>8875.95</v>
      </c>
      <c r="X18" s="293" t="n">
        <f aca="false">SUM(X3:X17)</f>
        <v>3912.85</v>
      </c>
      <c r="Y18" s="293" t="n">
        <f aca="false">SUM(Y3:Y17)</f>
        <v>16996.53</v>
      </c>
      <c r="Z18" s="293" t="n">
        <f aca="false">SUM(Z3:Z17)</f>
        <v>28334.33</v>
      </c>
      <c r="AA18" s="293" t="n">
        <f aca="false">SUM(AA3:AA17)</f>
        <v>18323.52</v>
      </c>
      <c r="AB18" s="293" t="n">
        <f aca="false">SUM(AB3:AB17)</f>
        <v>25419.671566</v>
      </c>
      <c r="AC18" s="293" t="n">
        <f aca="false">SUM(AC3:AC17)</f>
        <v>24240.94</v>
      </c>
      <c r="AD18" s="293" t="n">
        <f aca="false">SUM(AD3:AD17)</f>
        <v>32956.49</v>
      </c>
      <c r="AE18" s="0"/>
    </row>
    <row r="19" customFormat="false" ht="12.8" hidden="false" customHeight="false" outlineLevel="0" collapsed="false">
      <c r="B19" s="294" t="s">
        <v>311</v>
      </c>
      <c r="C19" s="295" t="s">
        <v>312</v>
      </c>
      <c r="D19" s="296" t="s">
        <v>312</v>
      </c>
      <c r="E19" s="297"/>
      <c r="F19" s="295" t="n">
        <f aca="false">ROUND(SUMIF('LT records'!$E$3:$E$1001,$B19,'LT records'!$H$3:$H$1001)+G19,2)</f>
        <v>27416.03</v>
      </c>
      <c r="G19" s="295" t="n">
        <f aca="false">SUMIF('LT records'!$E$3:$E$1001,$B19,'LT records'!$I$3:$I$1001)</f>
        <v>0</v>
      </c>
      <c r="H19" s="298" t="n">
        <f aca="false">SUMIF('LT records'!$E$3:$E$1001,$B19,'LT records'!$K$3:$K$1001)</f>
        <v>0</v>
      </c>
      <c r="I19" s="269"/>
      <c r="J19" s="270"/>
      <c r="K19" s="299"/>
      <c r="L19" s="283"/>
      <c r="N19" s="233"/>
      <c r="O19" s="233"/>
      <c r="P19" s="233"/>
      <c r="Q19" s="233"/>
      <c r="R19" s="233"/>
      <c r="S19" s="233"/>
      <c r="T19" s="233"/>
      <c r="U19" s="233"/>
      <c r="V19" s="233"/>
      <c r="W19" s="233"/>
      <c r="X19" s="233"/>
      <c r="Y19" s="233"/>
      <c r="Z19" s="233"/>
      <c r="AA19" s="233"/>
      <c r="AB19" s="233"/>
      <c r="AC19" s="233"/>
      <c r="AD19" s="233"/>
      <c r="AF19" s="233"/>
      <c r="AG19" s="233"/>
      <c r="AH19" s="233"/>
      <c r="AI19" s="233"/>
      <c r="AJ19" s="233"/>
      <c r="AK19" s="233"/>
      <c r="AL19" s="233"/>
      <c r="AM19" s="233"/>
      <c r="AN19" s="233"/>
    </row>
    <row r="20" customFormat="false" ht="12.8" hidden="false" customHeight="false" outlineLevel="0" collapsed="false">
      <c r="B20" s="300" t="s">
        <v>313</v>
      </c>
      <c r="C20" s="301" t="s">
        <v>314</v>
      </c>
      <c r="D20" s="302" t="s">
        <v>315</v>
      </c>
      <c r="E20" s="303" t="s">
        <v>316</v>
      </c>
      <c r="F20" s="301" t="n">
        <f aca="false">[1]PP2!$E$4</f>
        <v>31486.1411243367</v>
      </c>
      <c r="G20" s="301" t="n">
        <f aca="false">SUMIF('LT records'!$E$3:$E$1001,$B20,'LT records'!$I$3:$I$1001)</f>
        <v>0</v>
      </c>
      <c r="H20" s="301" t="n">
        <f aca="false">SUMIF('LT records'!$E$3:$E$1001,$B20,'LT records'!$K$3:$K$1001)</f>
        <v>0</v>
      </c>
      <c r="I20" s="269" t="str">
        <f aca="false">IF(J20="","0-no date",YEAR(J20)&amp;"-"&amp;IF(MONTH(J20)&lt;10,"0"&amp;MONTH(J20),MONTH(J20)))</f>
        <v>0-no date</v>
      </c>
      <c r="J20" s="270"/>
      <c r="K20" s="299" t="s">
        <v>317</v>
      </c>
    </row>
    <row r="21" customFormat="false" ht="12.8" hidden="false" customHeight="false" outlineLevel="0" collapsed="false">
      <c r="B21" s="304" t="s">
        <v>318</v>
      </c>
      <c r="C21" s="305" t="s">
        <v>319</v>
      </c>
      <c r="D21" s="306" t="s">
        <v>320</v>
      </c>
      <c r="E21" s="307" t="s">
        <v>321</v>
      </c>
      <c r="F21" s="305" t="n">
        <f aca="false">ROUND(SUMIF('LT records'!$E$3:$E$1001,$B21,'LT records'!$H$3:$H$1001)+G21,2)</f>
        <v>18180</v>
      </c>
      <c r="G21" s="305" t="n">
        <f aca="false">SUMIF('LT records'!$E$3:$E$1001,$B21,'LT records'!$I$3:$I$1001)</f>
        <v>0</v>
      </c>
      <c r="H21" s="305" t="n">
        <f aca="false">SUMIF('LT records'!$E$3:$E$1001,$B21,'LT records'!$K$3:$K$1001)</f>
        <v>0</v>
      </c>
      <c r="I21" s="269" t="str">
        <f aca="false">IF(J21="","0-no date",YEAR(J21)&amp;"-"&amp;IF(MONTH(J21)&lt;10,"0"&amp;MONTH(J21),MONTH(J21)))</f>
        <v>0-no date</v>
      </c>
      <c r="J21" s="270"/>
      <c r="K21" s="299" t="s">
        <v>317</v>
      </c>
    </row>
    <row r="22" customFormat="false" ht="12.8" hidden="false" customHeight="false" outlineLevel="0" collapsed="false">
      <c r="B22" s="308" t="s">
        <v>322</v>
      </c>
      <c r="C22" s="309" t="s">
        <v>323</v>
      </c>
      <c r="D22" s="310" t="s">
        <v>324</v>
      </c>
      <c r="E22" s="311" t="s">
        <v>325</v>
      </c>
      <c r="F22" s="309" t="n">
        <f aca="false">ROUND(SUMIF('LT records'!$E$3:$E$1001,$B22,'LT records'!$H$3:$H$1001)+G22,2)</f>
        <v>3801</v>
      </c>
      <c r="G22" s="309" t="n">
        <f aca="false">SUMIF('LT records'!$E$3:$E$1001,$B22,'LT records'!$I$3:$I$1001)</f>
        <v>0</v>
      </c>
      <c r="H22" s="309" t="n">
        <f aca="false">SUMIF('LT records'!$E$3:$E$1001,$B22,'LT records'!$K$3:$K$1001)</f>
        <v>0</v>
      </c>
      <c r="I22" s="269" t="str">
        <f aca="false">IF(J22="","0-no date",YEAR(J22)&amp;"-"&amp;IF(MONTH(J22)&lt;10,"0"&amp;MONTH(J22),MONTH(J22)))</f>
        <v>0-no date</v>
      </c>
      <c r="J22" s="270"/>
      <c r="K22" s="299" t="s">
        <v>317</v>
      </c>
    </row>
    <row r="23" customFormat="false" ht="12.8" hidden="false" customHeight="false" outlineLevel="0" collapsed="false">
      <c r="B23" s="312"/>
      <c r="C23" s="313"/>
      <c r="D23" s="314" t="s">
        <v>199</v>
      </c>
      <c r="E23" s="314"/>
      <c r="F23" s="313" t="n">
        <f aca="false">SUM(F3:F22)</f>
        <v>291295.561124337</v>
      </c>
      <c r="G23" s="314"/>
      <c r="H23" s="315" t="n">
        <f aca="false">SUM(H3:H22)</f>
        <v>0</v>
      </c>
      <c r="I23" s="316"/>
      <c r="J23" s="317"/>
      <c r="K23" s="318"/>
      <c r="M23" s="319"/>
    </row>
    <row r="24" customFormat="false" ht="12.8" hidden="false" customHeight="false" outlineLevel="0" collapsed="false">
      <c r="M24" s="319"/>
    </row>
    <row r="25" customFormat="false" ht="12.8" hidden="false" customHeight="false" outlineLevel="0" collapsed="false">
      <c r="B25" s="320"/>
      <c r="C25" s="321"/>
      <c r="F25" s="321"/>
      <c r="G25" s="322"/>
      <c r="H25" s="322"/>
      <c r="I25" s="322"/>
      <c r="J25" s="322"/>
      <c r="M25" s="319"/>
    </row>
    <row r="26" customFormat="false" ht="12.8" hidden="false" customHeight="false" outlineLevel="0" collapsed="false">
      <c r="B26" s="320"/>
      <c r="C26" s="321"/>
      <c r="F26" s="321"/>
      <c r="G26" s="322"/>
      <c r="H26" s="322"/>
      <c r="I26" s="322"/>
      <c r="J26" s="322"/>
      <c r="M26" s="319"/>
    </row>
    <row r="27" customFormat="false" ht="12.8" hidden="false" customHeight="false" outlineLevel="0" collapsed="false">
      <c r="B27" s="320"/>
      <c r="C27" s="321"/>
      <c r="F27" s="321"/>
      <c r="G27" s="322"/>
      <c r="H27" s="322"/>
      <c r="I27" s="322"/>
      <c r="J27" s="322"/>
      <c r="M27" s="319"/>
    </row>
    <row r="28" customFormat="false" ht="12.8" hidden="false" customHeight="false" outlineLevel="0" collapsed="false">
      <c r="B28" s="320"/>
      <c r="C28" s="321"/>
      <c r="F28" s="321"/>
      <c r="G28" s="322"/>
      <c r="H28" s="322"/>
      <c r="I28" s="322"/>
      <c r="J28" s="322"/>
      <c r="M28" s="319"/>
    </row>
    <row r="29" customFormat="false" ht="12.8" hidden="false" customHeight="false" outlineLevel="0" collapsed="false">
      <c r="B29" s="320"/>
      <c r="C29" s="321"/>
      <c r="F29" s="321"/>
      <c r="G29" s="322"/>
      <c r="H29" s="322"/>
      <c r="I29" s="322"/>
      <c r="J29" s="322"/>
      <c r="M29" s="319"/>
    </row>
    <row r="30" customFormat="false" ht="12.8" hidden="false" customHeight="false" outlineLevel="0" collapsed="false">
      <c r="B30" s="320"/>
      <c r="C30" s="321"/>
      <c r="F30" s="321"/>
      <c r="G30" s="322"/>
      <c r="H30" s="322"/>
      <c r="I30" s="322"/>
      <c r="J30" s="322"/>
      <c r="M30" s="319"/>
    </row>
    <row r="31" customFormat="false" ht="12.8" hidden="false" customHeight="false" outlineLevel="0" collapsed="false">
      <c r="B31" s="320"/>
      <c r="C31" s="321"/>
      <c r="F31" s="321"/>
      <c r="G31" s="322"/>
      <c r="H31" s="322"/>
      <c r="I31" s="322"/>
      <c r="J31" s="322"/>
      <c r="M31" s="319"/>
    </row>
    <row r="32" customFormat="false" ht="12.8" hidden="false" customHeight="false" outlineLevel="0" collapsed="false">
      <c r="B32" s="320"/>
      <c r="C32" s="321"/>
      <c r="F32" s="321"/>
      <c r="G32" s="322"/>
      <c r="H32" s="322"/>
      <c r="I32" s="322"/>
      <c r="J32" s="322"/>
      <c r="M32" s="319"/>
    </row>
    <row r="33" customFormat="false" ht="12.8" hidden="false" customHeight="false" outlineLevel="0" collapsed="false">
      <c r="B33" s="320"/>
      <c r="C33" s="321"/>
      <c r="F33" s="321"/>
      <c r="G33" s="322"/>
      <c r="H33" s="322"/>
      <c r="I33" s="322"/>
      <c r="J33" s="322"/>
      <c r="M33" s="319"/>
    </row>
    <row r="34" customFormat="false" ht="12.8" hidden="false" customHeight="false" outlineLevel="0" collapsed="false">
      <c r="B34" s="320"/>
      <c r="C34" s="321"/>
      <c r="F34" s="321"/>
      <c r="G34" s="322"/>
      <c r="H34" s="322"/>
      <c r="I34" s="322"/>
      <c r="J34" s="322"/>
      <c r="M34" s="319"/>
    </row>
    <row r="35" customFormat="false" ht="12.8" hidden="false" customHeight="false" outlineLevel="0" collapsed="false">
      <c r="B35" s="320"/>
      <c r="C35" s="321"/>
      <c r="F35" s="321"/>
      <c r="G35" s="322"/>
      <c r="H35" s="322"/>
      <c r="I35" s="322"/>
      <c r="J35" s="322"/>
      <c r="M35" s="319"/>
    </row>
    <row r="36" customFormat="false" ht="12.8" hidden="false" customHeight="false" outlineLevel="0" collapsed="false">
      <c r="B36" s="320"/>
      <c r="C36" s="321"/>
      <c r="F36" s="321"/>
      <c r="G36" s="322"/>
      <c r="H36" s="322"/>
      <c r="I36" s="322"/>
      <c r="J36" s="322"/>
      <c r="M36" s="319"/>
    </row>
    <row r="37" customFormat="false" ht="12.8" hidden="false" customHeight="false" outlineLevel="0" collapsed="false">
      <c r="B37" s="320"/>
      <c r="C37" s="321"/>
      <c r="F37" s="321"/>
      <c r="G37" s="322"/>
      <c r="H37" s="322"/>
      <c r="I37" s="322"/>
      <c r="J37" s="322"/>
      <c r="M37" s="319"/>
    </row>
    <row r="38" customFormat="false" ht="12.8" hidden="false" customHeight="false" outlineLevel="0" collapsed="false">
      <c r="B38" s="320"/>
      <c r="C38" s="321"/>
      <c r="F38" s="321"/>
      <c r="G38" s="322"/>
      <c r="H38" s="322"/>
      <c r="I38" s="322"/>
      <c r="J38" s="322"/>
      <c r="M38" s="319"/>
    </row>
    <row r="39" customFormat="false" ht="12.8" hidden="false" customHeight="false" outlineLevel="0" collapsed="false">
      <c r="B39" s="320"/>
      <c r="C39" s="321"/>
      <c r="F39" s="321"/>
      <c r="G39" s="322"/>
      <c r="H39" s="322"/>
      <c r="I39" s="322"/>
      <c r="J39" s="322"/>
      <c r="M39" s="319"/>
    </row>
    <row r="40" customFormat="false" ht="12.8" hidden="false" customHeight="false" outlineLevel="0" collapsed="false">
      <c r="B40" s="320"/>
      <c r="C40" s="321"/>
      <c r="F40" s="321"/>
      <c r="G40" s="322"/>
      <c r="H40" s="322"/>
      <c r="I40" s="322"/>
      <c r="J40" s="322"/>
      <c r="M40" s="319"/>
    </row>
    <row r="41" customFormat="false" ht="12.8" hidden="false" customHeight="false" outlineLevel="0" collapsed="false">
      <c r="B41" s="320"/>
      <c r="C41" s="321"/>
      <c r="F41" s="321"/>
      <c r="G41" s="322"/>
      <c r="H41" s="322"/>
      <c r="I41" s="322"/>
      <c r="J41" s="322"/>
      <c r="M41" s="319"/>
    </row>
    <row r="42" customFormat="false" ht="12.8" hidden="false" customHeight="false" outlineLevel="0" collapsed="false">
      <c r="B42" s="320"/>
      <c r="C42" s="321"/>
      <c r="F42" s="321"/>
      <c r="G42" s="322"/>
      <c r="H42" s="322"/>
      <c r="I42" s="322"/>
      <c r="J42" s="322"/>
      <c r="M42" s="319"/>
    </row>
    <row r="43" customFormat="false" ht="12.8" hidden="false" customHeight="false" outlineLevel="0" collapsed="false">
      <c r="B43" s="320"/>
      <c r="C43" s="321"/>
      <c r="F43" s="321"/>
      <c r="G43" s="322"/>
      <c r="H43" s="322"/>
      <c r="I43" s="322"/>
      <c r="J43" s="322"/>
      <c r="M43" s="319"/>
    </row>
    <row r="44" customFormat="false" ht="12.8" hidden="false" customHeight="false" outlineLevel="0" collapsed="false">
      <c r="B44" s="320"/>
      <c r="C44" s="321"/>
      <c r="F44" s="321"/>
      <c r="G44" s="322"/>
      <c r="H44" s="322"/>
      <c r="I44" s="322"/>
      <c r="J44" s="322"/>
      <c r="M44" s="319"/>
    </row>
    <row r="45" customFormat="false" ht="12.8" hidden="false" customHeight="false" outlineLevel="0" collapsed="false">
      <c r="B45" s="320"/>
      <c r="C45" s="321"/>
      <c r="F45" s="321"/>
      <c r="G45" s="322"/>
      <c r="H45" s="322"/>
      <c r="I45" s="322"/>
      <c r="J45" s="322"/>
      <c r="M45" s="319"/>
    </row>
    <row r="46" customFormat="false" ht="12.8" hidden="false" customHeight="false" outlineLevel="0" collapsed="false">
      <c r="B46" s="320"/>
      <c r="C46" s="321"/>
      <c r="F46" s="321"/>
      <c r="G46" s="322"/>
      <c r="H46" s="322"/>
      <c r="I46" s="322"/>
      <c r="J46" s="322"/>
      <c r="M46" s="319"/>
    </row>
    <row r="47" customFormat="false" ht="12.8" hidden="false" customHeight="false" outlineLevel="0" collapsed="false">
      <c r="B47" s="320"/>
      <c r="C47" s="321"/>
      <c r="F47" s="321"/>
      <c r="G47" s="322"/>
      <c r="H47" s="322"/>
      <c r="I47" s="322"/>
      <c r="J47" s="322"/>
      <c r="M47" s="319"/>
    </row>
    <row r="48" customFormat="false" ht="12.8" hidden="false" customHeight="false" outlineLevel="0" collapsed="false">
      <c r="B48" s="320"/>
      <c r="C48" s="321"/>
      <c r="F48" s="321"/>
      <c r="G48" s="322"/>
      <c r="H48" s="322"/>
      <c r="I48" s="322"/>
      <c r="J48" s="322"/>
      <c r="M48" s="319"/>
    </row>
    <row r="49" customFormat="false" ht="12.8" hidden="false" customHeight="false" outlineLevel="0" collapsed="false">
      <c r="B49" s="320"/>
      <c r="C49" s="321"/>
      <c r="F49" s="321"/>
      <c r="G49" s="322"/>
      <c r="H49" s="322"/>
      <c r="I49" s="322"/>
      <c r="J49" s="322"/>
      <c r="M49" s="319"/>
    </row>
    <row r="50" customFormat="false" ht="12.8" hidden="false" customHeight="false" outlineLevel="0" collapsed="false">
      <c r="B50" s="320"/>
      <c r="C50" s="321"/>
      <c r="F50" s="321"/>
      <c r="G50" s="322"/>
      <c r="H50" s="322"/>
      <c r="I50" s="322"/>
      <c r="J50" s="322"/>
      <c r="M50" s="319"/>
    </row>
    <row r="51" customFormat="false" ht="12.8" hidden="false" customHeight="false" outlineLevel="0" collapsed="false">
      <c r="B51" s="320"/>
      <c r="C51" s="321"/>
      <c r="F51" s="321"/>
      <c r="G51" s="322"/>
      <c r="H51" s="322"/>
      <c r="I51" s="322"/>
      <c r="J51" s="322"/>
      <c r="M51" s="319"/>
    </row>
    <row r="52" customFormat="false" ht="12.8" hidden="false" customHeight="false" outlineLevel="0" collapsed="false">
      <c r="B52" s="320"/>
      <c r="C52" s="321"/>
      <c r="F52" s="321"/>
      <c r="G52" s="322"/>
      <c r="H52" s="322"/>
      <c r="I52" s="322"/>
      <c r="J52" s="322"/>
      <c r="M52" s="319"/>
    </row>
    <row r="53" customFormat="false" ht="12.8" hidden="false" customHeight="false" outlineLevel="0" collapsed="false">
      <c r="B53" s="320"/>
      <c r="C53" s="321"/>
      <c r="F53" s="321"/>
      <c r="G53" s="322"/>
      <c r="H53" s="322"/>
      <c r="I53" s="322"/>
      <c r="J53" s="322"/>
      <c r="M53" s="319"/>
    </row>
    <row r="54" customFormat="false" ht="12.8" hidden="false" customHeight="false" outlineLevel="0" collapsed="false">
      <c r="B54" s="320"/>
      <c r="C54" s="321"/>
      <c r="F54" s="321"/>
      <c r="G54" s="322"/>
      <c r="H54" s="322"/>
      <c r="I54" s="323"/>
      <c r="J54" s="323"/>
      <c r="M54" s="319"/>
    </row>
    <row r="55" customFormat="false" ht="12.8" hidden="false" customHeight="false" outlineLevel="0" collapsed="false">
      <c r="M55" s="319"/>
    </row>
    <row r="56" customFormat="false" ht="12.8" hidden="false" customHeight="false" outlineLevel="0" collapsed="false">
      <c r="M56" s="319"/>
    </row>
    <row r="57" customFormat="false" ht="12.8" hidden="false" customHeight="false" outlineLevel="0" collapsed="false">
      <c r="M57" s="319"/>
    </row>
    <row r="58" customFormat="false" ht="12.8" hidden="false" customHeight="false" outlineLevel="0" collapsed="false">
      <c r="M58" s="319"/>
    </row>
    <row r="59" customFormat="false" ht="12.8" hidden="false" customHeight="false" outlineLevel="0" collapsed="false">
      <c r="M59" s="319"/>
    </row>
    <row r="60" customFormat="false" ht="12.8" hidden="false" customHeight="false" outlineLevel="0" collapsed="false">
      <c r="M60" s="319"/>
    </row>
    <row r="61" customFormat="false" ht="12.8" hidden="false" customHeight="false" outlineLevel="0" collapsed="false">
      <c r="M61" s="319"/>
    </row>
    <row r="62" customFormat="false" ht="12.8" hidden="false" customHeight="false" outlineLevel="0" collapsed="false">
      <c r="M62" s="319"/>
    </row>
    <row r="63" customFormat="false" ht="12.8" hidden="false" customHeight="false" outlineLevel="0" collapsed="false">
      <c r="M63" s="319"/>
    </row>
    <row r="64" customFormat="false" ht="12.8" hidden="false" customHeight="false" outlineLevel="0" collapsed="false">
      <c r="M64" s="319"/>
    </row>
    <row r="65" customFormat="false" ht="12.8" hidden="false" customHeight="false" outlineLevel="0" collapsed="false">
      <c r="M65" s="319"/>
    </row>
    <row r="66" customFormat="false" ht="12.8" hidden="false" customHeight="false" outlineLevel="0" collapsed="false">
      <c r="M66" s="319"/>
    </row>
    <row r="67" customFormat="false" ht="12.8" hidden="false" customHeight="false" outlineLevel="0" collapsed="false">
      <c r="M67" s="319"/>
    </row>
    <row r="68" customFormat="false" ht="12.8" hidden="false" customHeight="false" outlineLevel="0" collapsed="false">
      <c r="M68" s="319"/>
    </row>
    <row r="69" customFormat="false" ht="12.8" hidden="false" customHeight="false" outlineLevel="0" collapsed="false">
      <c r="M69" s="319"/>
    </row>
    <row r="70" customFormat="false" ht="12.8" hidden="false" customHeight="false" outlineLevel="0" collapsed="false">
      <c r="M70" s="319"/>
    </row>
    <row r="71" customFormat="false" ht="12.8" hidden="false" customHeight="false" outlineLevel="0" collapsed="false">
      <c r="M71" s="319"/>
    </row>
    <row r="72" customFormat="false" ht="12.8" hidden="false" customHeight="false" outlineLevel="0" collapsed="false">
      <c r="M72" s="319"/>
    </row>
    <row r="73" customFormat="false" ht="12.8" hidden="false" customHeight="false" outlineLevel="0" collapsed="false">
      <c r="M73" s="319"/>
    </row>
    <row r="74" customFormat="false" ht="12.8" hidden="false" customHeight="false" outlineLevel="0" collapsed="false">
      <c r="M74" s="319"/>
    </row>
    <row r="75" customFormat="false" ht="12.8" hidden="false" customHeight="false" outlineLevel="0" collapsed="false">
      <c r="M75" s="319"/>
    </row>
    <row r="76" customFormat="false" ht="12.8" hidden="false" customHeight="false" outlineLevel="0" collapsed="false">
      <c r="M76" s="319"/>
    </row>
    <row r="77" customFormat="false" ht="12.8" hidden="false" customHeight="false" outlineLevel="0" collapsed="false">
      <c r="M77" s="319"/>
    </row>
    <row r="78" customFormat="false" ht="12.8" hidden="false" customHeight="false" outlineLevel="0" collapsed="false">
      <c r="M78" s="319"/>
    </row>
    <row r="79" customFormat="false" ht="12.8" hidden="false" customHeight="false" outlineLevel="0" collapsed="false">
      <c r="M79" s="319"/>
    </row>
    <row r="80" customFormat="false" ht="12.8" hidden="false" customHeight="false" outlineLevel="0" collapsed="false">
      <c r="M80" s="319"/>
    </row>
    <row r="81" customFormat="false" ht="12.8" hidden="false" customHeight="false" outlineLevel="0" collapsed="false">
      <c r="M81" s="319"/>
    </row>
    <row r="82" customFormat="false" ht="12.8" hidden="false" customHeight="false" outlineLevel="0" collapsed="false">
      <c r="M82" s="319"/>
    </row>
    <row r="83" customFormat="false" ht="12.8" hidden="false" customHeight="false" outlineLevel="0" collapsed="false">
      <c r="M83" s="319"/>
    </row>
    <row r="84" customFormat="false" ht="12.8" hidden="false" customHeight="false" outlineLevel="0" collapsed="false">
      <c r="M84" s="319"/>
    </row>
    <row r="85" customFormat="false" ht="12.8" hidden="false" customHeight="false" outlineLevel="0" collapsed="false">
      <c r="M85" s="319"/>
    </row>
    <row r="86" customFormat="false" ht="12.8" hidden="false" customHeight="false" outlineLevel="0" collapsed="false">
      <c r="M86" s="319"/>
    </row>
    <row r="87" customFormat="false" ht="12.8" hidden="false" customHeight="false" outlineLevel="0" collapsed="false">
      <c r="M87" s="319"/>
    </row>
    <row r="88" customFormat="false" ht="12.8" hidden="false" customHeight="false" outlineLevel="0" collapsed="false">
      <c r="M88" s="319"/>
    </row>
    <row r="89" customFormat="false" ht="12.8" hidden="false" customHeight="false" outlineLevel="0" collapsed="false">
      <c r="M89" s="319"/>
    </row>
    <row r="90" customFormat="false" ht="12.8" hidden="false" customHeight="false" outlineLevel="0" collapsed="false">
      <c r="M90" s="319"/>
    </row>
    <row r="91" customFormat="false" ht="12.8" hidden="false" customHeight="false" outlineLevel="0" collapsed="false">
      <c r="M91" s="319"/>
    </row>
    <row r="92" customFormat="false" ht="12.8" hidden="false" customHeight="false" outlineLevel="0" collapsed="false">
      <c r="M92" s="319"/>
    </row>
    <row r="93" customFormat="false" ht="12.8" hidden="false" customHeight="false" outlineLevel="0" collapsed="false">
      <c r="M93" s="319"/>
    </row>
    <row r="94" customFormat="false" ht="12.8" hidden="false" customHeight="false" outlineLevel="0" collapsed="false">
      <c r="M94" s="319"/>
    </row>
    <row r="95" customFormat="false" ht="12.8" hidden="false" customHeight="false" outlineLevel="0" collapsed="false">
      <c r="M95" s="319"/>
    </row>
    <row r="96" customFormat="false" ht="12.8" hidden="false" customHeight="false" outlineLevel="0" collapsed="false">
      <c r="M96" s="319"/>
    </row>
    <row r="97" customFormat="false" ht="12.8" hidden="false" customHeight="false" outlineLevel="0" collapsed="false">
      <c r="M97" s="319"/>
    </row>
    <row r="98" customFormat="false" ht="12.8" hidden="false" customHeight="false" outlineLevel="0" collapsed="false">
      <c r="M98" s="319"/>
    </row>
    <row r="99" customFormat="false" ht="12.8" hidden="false" customHeight="false" outlineLevel="0" collapsed="false">
      <c r="M99" s="319"/>
    </row>
    <row r="100" customFormat="false" ht="12.8" hidden="false" customHeight="false" outlineLevel="0" collapsed="false">
      <c r="M100" s="319"/>
    </row>
    <row r="101" customFormat="false" ht="12.8" hidden="false" customHeight="false" outlineLevel="0" collapsed="false">
      <c r="M101" s="319"/>
    </row>
    <row r="102" customFormat="false" ht="12.8" hidden="false" customHeight="false" outlineLevel="0" collapsed="false">
      <c r="M102" s="319"/>
    </row>
    <row r="103" customFormat="false" ht="12.8" hidden="false" customHeight="false" outlineLevel="0" collapsed="false">
      <c r="M103" s="319"/>
    </row>
    <row r="104" customFormat="false" ht="12.8" hidden="false" customHeight="false" outlineLevel="0" collapsed="false">
      <c r="M104" s="319"/>
    </row>
    <row r="105" customFormat="false" ht="12.8" hidden="false" customHeight="false" outlineLevel="0" collapsed="false">
      <c r="M105" s="319"/>
    </row>
    <row r="106" customFormat="false" ht="12.8" hidden="false" customHeight="false" outlineLevel="0" collapsed="false">
      <c r="M106" s="319"/>
    </row>
    <row r="107" customFormat="false" ht="12.8" hidden="false" customHeight="false" outlineLevel="0" collapsed="false">
      <c r="M107" s="319"/>
    </row>
    <row r="108" customFormat="false" ht="12.8" hidden="false" customHeight="false" outlineLevel="0" collapsed="false">
      <c r="M108" s="319"/>
    </row>
    <row r="109" customFormat="false" ht="12.8" hidden="false" customHeight="false" outlineLevel="0" collapsed="false">
      <c r="M109" s="319"/>
    </row>
    <row r="110" customFormat="false" ht="12.8" hidden="false" customHeight="false" outlineLevel="0" collapsed="false">
      <c r="M110" s="319"/>
    </row>
    <row r="111" customFormat="false" ht="12.8" hidden="false" customHeight="false" outlineLevel="0" collapsed="false">
      <c r="M111" s="319"/>
    </row>
    <row r="112" customFormat="false" ht="12.8" hidden="false" customHeight="false" outlineLevel="0" collapsed="false">
      <c r="M112" s="319"/>
    </row>
    <row r="113" customFormat="false" ht="12.8" hidden="false" customHeight="false" outlineLevel="0" collapsed="false">
      <c r="M113" s="319"/>
    </row>
    <row r="114" customFormat="false" ht="12.8" hidden="false" customHeight="false" outlineLevel="0" collapsed="false">
      <c r="M114" s="319"/>
    </row>
    <row r="115" customFormat="false" ht="12.8" hidden="false" customHeight="false" outlineLevel="0" collapsed="false">
      <c r="M115" s="319"/>
    </row>
    <row r="116" customFormat="false" ht="12.8" hidden="false" customHeight="false" outlineLevel="0" collapsed="false">
      <c r="M116" s="319"/>
    </row>
    <row r="117" customFormat="false" ht="12.8" hidden="false" customHeight="false" outlineLevel="0" collapsed="false">
      <c r="M117" s="319"/>
    </row>
    <row r="118" customFormat="false" ht="12.8" hidden="false" customHeight="false" outlineLevel="0" collapsed="false">
      <c r="M118" s="319"/>
    </row>
    <row r="119" customFormat="false" ht="12.8" hidden="false" customHeight="false" outlineLevel="0" collapsed="false">
      <c r="M119" s="319"/>
    </row>
    <row r="120" customFormat="false" ht="12.8" hidden="false" customHeight="false" outlineLevel="0" collapsed="false">
      <c r="M120" s="319"/>
    </row>
    <row r="121" customFormat="false" ht="12.8" hidden="false" customHeight="false" outlineLevel="0" collapsed="false">
      <c r="M121" s="319"/>
    </row>
    <row r="122" customFormat="false" ht="12.8" hidden="false" customHeight="false" outlineLevel="0" collapsed="false">
      <c r="M122" s="319"/>
    </row>
    <row r="123" customFormat="false" ht="12.8" hidden="false" customHeight="false" outlineLevel="0" collapsed="false">
      <c r="M123" s="319"/>
    </row>
    <row r="124" customFormat="false" ht="12.8" hidden="false" customHeight="false" outlineLevel="0" collapsed="false">
      <c r="M124" s="319"/>
    </row>
    <row r="125" customFormat="false" ht="12.8" hidden="false" customHeight="false" outlineLevel="0" collapsed="false">
      <c r="M125" s="319"/>
    </row>
    <row r="126" customFormat="false" ht="12.8" hidden="false" customHeight="false" outlineLevel="0" collapsed="false">
      <c r="M126" s="319"/>
    </row>
    <row r="127" customFormat="false" ht="12.8" hidden="false" customHeight="false" outlineLevel="0" collapsed="false">
      <c r="M127" s="319"/>
    </row>
    <row r="128" customFormat="false" ht="12.8" hidden="false" customHeight="false" outlineLevel="0" collapsed="false">
      <c r="M128" s="319"/>
    </row>
    <row r="129" customFormat="false" ht="12.8" hidden="false" customHeight="false" outlineLevel="0" collapsed="false">
      <c r="M129" s="319"/>
    </row>
    <row r="130" customFormat="false" ht="12.8" hidden="false" customHeight="false" outlineLevel="0" collapsed="false">
      <c r="M130" s="319"/>
    </row>
    <row r="131" customFormat="false" ht="12.8" hidden="false" customHeight="false" outlineLevel="0" collapsed="false">
      <c r="M131" s="319"/>
    </row>
    <row r="132" customFormat="false" ht="12.8" hidden="false" customHeight="false" outlineLevel="0" collapsed="false">
      <c r="M132" s="319"/>
    </row>
    <row r="133" customFormat="false" ht="12.8" hidden="false" customHeight="false" outlineLevel="0" collapsed="false">
      <c r="M133" s="319"/>
    </row>
    <row r="134" customFormat="false" ht="12.8" hidden="false" customHeight="false" outlineLevel="0" collapsed="false">
      <c r="M134" s="319"/>
    </row>
    <row r="135" customFormat="false" ht="12.8" hidden="false" customHeight="false" outlineLevel="0" collapsed="false">
      <c r="M135" s="319"/>
    </row>
    <row r="136" customFormat="false" ht="12.8" hidden="false" customHeight="false" outlineLevel="0" collapsed="false">
      <c r="M136" s="319"/>
    </row>
    <row r="137" customFormat="false" ht="12.8" hidden="false" customHeight="false" outlineLevel="0" collapsed="false">
      <c r="M137" s="319"/>
    </row>
    <row r="138" customFormat="false" ht="12.8" hidden="false" customHeight="false" outlineLevel="0" collapsed="false">
      <c r="M138" s="319"/>
    </row>
    <row r="139" customFormat="false" ht="12.8" hidden="false" customHeight="false" outlineLevel="0" collapsed="false">
      <c r="M139" s="319"/>
    </row>
    <row r="140" customFormat="false" ht="12.8" hidden="false" customHeight="false" outlineLevel="0" collapsed="false">
      <c r="M140" s="319"/>
    </row>
    <row r="141" customFormat="false" ht="12.8" hidden="false" customHeight="false" outlineLevel="0" collapsed="false">
      <c r="M141" s="319"/>
    </row>
    <row r="142" customFormat="false" ht="12.8" hidden="false" customHeight="false" outlineLevel="0" collapsed="false">
      <c r="M142" s="319"/>
    </row>
    <row r="143" customFormat="false" ht="12.8" hidden="false" customHeight="false" outlineLevel="0" collapsed="false">
      <c r="M143" s="319"/>
    </row>
    <row r="144" customFormat="false" ht="12.8" hidden="false" customHeight="false" outlineLevel="0" collapsed="false">
      <c r="M144" s="319"/>
    </row>
    <row r="145" customFormat="false" ht="12.8" hidden="false" customHeight="false" outlineLevel="0" collapsed="false">
      <c r="M145" s="319"/>
    </row>
    <row r="146" customFormat="false" ht="12.8" hidden="false" customHeight="false" outlineLevel="0" collapsed="false">
      <c r="M146" s="319"/>
    </row>
    <row r="147" customFormat="false" ht="12.8" hidden="false" customHeight="false" outlineLevel="0" collapsed="false">
      <c r="M147" s="319"/>
    </row>
    <row r="148" customFormat="false" ht="12.8" hidden="false" customHeight="false" outlineLevel="0" collapsed="false">
      <c r="M148" s="319"/>
    </row>
    <row r="149" customFormat="false" ht="12.8" hidden="false" customHeight="false" outlineLevel="0" collapsed="false">
      <c r="M149" s="319"/>
    </row>
    <row r="150" customFormat="false" ht="12.8" hidden="false" customHeight="false" outlineLevel="0" collapsed="false">
      <c r="M150" s="319"/>
    </row>
    <row r="151" customFormat="false" ht="12.8" hidden="false" customHeight="false" outlineLevel="0" collapsed="false">
      <c r="M151" s="319"/>
    </row>
    <row r="152" customFormat="false" ht="12.8" hidden="false" customHeight="false" outlineLevel="0" collapsed="false">
      <c r="M152" s="319"/>
    </row>
    <row r="153" customFormat="false" ht="12.8" hidden="false" customHeight="false" outlineLevel="0" collapsed="false">
      <c r="M153" s="319"/>
    </row>
    <row r="154" customFormat="false" ht="12.8" hidden="false" customHeight="false" outlineLevel="0" collapsed="false">
      <c r="M154" s="319"/>
    </row>
    <row r="155" customFormat="false" ht="12.8" hidden="false" customHeight="false" outlineLevel="0" collapsed="false">
      <c r="M155" s="319"/>
    </row>
    <row r="156" customFormat="false" ht="12.8" hidden="false" customHeight="false" outlineLevel="0" collapsed="false">
      <c r="M156" s="319"/>
    </row>
    <row r="157" customFormat="false" ht="12.8" hidden="false" customHeight="false" outlineLevel="0" collapsed="false">
      <c r="M157" s="319"/>
    </row>
    <row r="158" customFormat="false" ht="12.8" hidden="false" customHeight="false" outlineLevel="0" collapsed="false">
      <c r="M158" s="319"/>
    </row>
    <row r="159" customFormat="false" ht="12.8" hidden="false" customHeight="false" outlineLevel="0" collapsed="false">
      <c r="M159" s="319"/>
    </row>
    <row r="160" customFormat="false" ht="12.8" hidden="false" customHeight="false" outlineLevel="0" collapsed="false">
      <c r="M160" s="319"/>
    </row>
    <row r="161" customFormat="false" ht="12.8" hidden="false" customHeight="false" outlineLevel="0" collapsed="false">
      <c r="M161" s="319"/>
    </row>
    <row r="162" customFormat="false" ht="12.8" hidden="false" customHeight="false" outlineLevel="0" collapsed="false">
      <c r="M162" s="319"/>
    </row>
    <row r="163" customFormat="false" ht="12.8" hidden="false" customHeight="false" outlineLevel="0" collapsed="false">
      <c r="M163" s="319"/>
    </row>
    <row r="164" customFormat="false" ht="12.8" hidden="false" customHeight="false" outlineLevel="0" collapsed="false">
      <c r="M164" s="319"/>
    </row>
    <row r="165" customFormat="false" ht="12.8" hidden="false" customHeight="false" outlineLevel="0" collapsed="false">
      <c r="M165" s="319"/>
    </row>
    <row r="166" customFormat="false" ht="12.8" hidden="false" customHeight="false" outlineLevel="0" collapsed="false">
      <c r="M166" s="319"/>
    </row>
    <row r="167" customFormat="false" ht="12.8" hidden="false" customHeight="false" outlineLevel="0" collapsed="false">
      <c r="M167" s="319"/>
    </row>
    <row r="168" customFormat="false" ht="12.8" hidden="false" customHeight="false" outlineLevel="0" collapsed="false">
      <c r="M168" s="319"/>
    </row>
    <row r="169" customFormat="false" ht="12.8" hidden="false" customHeight="false" outlineLevel="0" collapsed="false">
      <c r="M169" s="319"/>
    </row>
    <row r="170" customFormat="false" ht="12.8" hidden="false" customHeight="false" outlineLevel="0" collapsed="false">
      <c r="M170" s="319"/>
    </row>
    <row r="171" customFormat="false" ht="12.8" hidden="false" customHeight="false" outlineLevel="0" collapsed="false">
      <c r="M171" s="319"/>
    </row>
    <row r="172" customFormat="false" ht="12.8" hidden="false" customHeight="false" outlineLevel="0" collapsed="false">
      <c r="M172" s="319"/>
    </row>
    <row r="173" customFormat="false" ht="12.8" hidden="false" customHeight="false" outlineLevel="0" collapsed="false">
      <c r="M173" s="319"/>
    </row>
    <row r="174" customFormat="false" ht="12.8" hidden="false" customHeight="false" outlineLevel="0" collapsed="false">
      <c r="M174" s="319"/>
    </row>
    <row r="175" customFormat="false" ht="12.8" hidden="false" customHeight="false" outlineLevel="0" collapsed="false">
      <c r="M175" s="319"/>
    </row>
    <row r="176" customFormat="false" ht="12.8" hidden="false" customHeight="false" outlineLevel="0" collapsed="false">
      <c r="M176" s="319"/>
    </row>
    <row r="177" customFormat="false" ht="12.8" hidden="false" customHeight="false" outlineLevel="0" collapsed="false">
      <c r="M177" s="319"/>
    </row>
    <row r="178" customFormat="false" ht="12.8" hidden="false" customHeight="false" outlineLevel="0" collapsed="false">
      <c r="M178" s="319"/>
    </row>
    <row r="179" customFormat="false" ht="12.8" hidden="false" customHeight="false" outlineLevel="0" collapsed="false">
      <c r="M179" s="319"/>
    </row>
    <row r="180" customFormat="false" ht="12.8" hidden="false" customHeight="false" outlineLevel="0" collapsed="false">
      <c r="M180" s="319"/>
    </row>
    <row r="181" customFormat="false" ht="12.8" hidden="false" customHeight="false" outlineLevel="0" collapsed="false">
      <c r="M181" s="319"/>
    </row>
    <row r="182" customFormat="false" ht="12.8" hidden="false" customHeight="false" outlineLevel="0" collapsed="false">
      <c r="M182" s="319"/>
    </row>
    <row r="183" customFormat="false" ht="12.8" hidden="false" customHeight="false" outlineLevel="0" collapsed="false">
      <c r="M183" s="319"/>
    </row>
    <row r="184" customFormat="false" ht="12.8" hidden="false" customHeight="false" outlineLevel="0" collapsed="false">
      <c r="M184" s="319"/>
    </row>
    <row r="185" customFormat="false" ht="12.8" hidden="false" customHeight="false" outlineLevel="0" collapsed="false">
      <c r="M185" s="319"/>
    </row>
    <row r="186" customFormat="false" ht="12.8" hidden="false" customHeight="false" outlineLevel="0" collapsed="false">
      <c r="M186" s="319"/>
    </row>
    <row r="187" customFormat="false" ht="12.8" hidden="false" customHeight="false" outlineLevel="0" collapsed="false">
      <c r="M187" s="319"/>
    </row>
    <row r="188" customFormat="false" ht="12.8" hidden="false" customHeight="false" outlineLevel="0" collapsed="false">
      <c r="M188" s="319"/>
    </row>
    <row r="189" customFormat="false" ht="12.8" hidden="false" customHeight="false" outlineLevel="0" collapsed="false">
      <c r="M189" s="319"/>
    </row>
    <row r="190" customFormat="false" ht="12.8" hidden="false" customHeight="false" outlineLevel="0" collapsed="false">
      <c r="M190" s="319"/>
    </row>
    <row r="191" customFormat="false" ht="12.8" hidden="false" customHeight="false" outlineLevel="0" collapsed="false">
      <c r="M191" s="319"/>
    </row>
    <row r="192" customFormat="false" ht="12.8" hidden="false" customHeight="false" outlineLevel="0" collapsed="false">
      <c r="M192" s="319"/>
    </row>
    <row r="193" customFormat="false" ht="12.8" hidden="false" customHeight="false" outlineLevel="0" collapsed="false">
      <c r="M193" s="319"/>
    </row>
    <row r="194" customFormat="false" ht="12.8" hidden="false" customHeight="false" outlineLevel="0" collapsed="false">
      <c r="M194" s="319"/>
    </row>
    <row r="195" customFormat="false" ht="12.8" hidden="false" customHeight="false" outlineLevel="0" collapsed="false">
      <c r="M195" s="319"/>
    </row>
    <row r="196" customFormat="false" ht="12.8" hidden="false" customHeight="false" outlineLevel="0" collapsed="false">
      <c r="M196" s="319"/>
    </row>
    <row r="197" customFormat="false" ht="12.8" hidden="false" customHeight="false" outlineLevel="0" collapsed="false">
      <c r="M197" s="319"/>
    </row>
    <row r="198" customFormat="false" ht="12.8" hidden="false" customHeight="false" outlineLevel="0" collapsed="false">
      <c r="M198" s="319"/>
    </row>
    <row r="199" customFormat="false" ht="12.8" hidden="false" customHeight="false" outlineLevel="0" collapsed="false">
      <c r="M199" s="319"/>
    </row>
    <row r="200" customFormat="false" ht="12.8" hidden="false" customHeight="false" outlineLevel="0" collapsed="false">
      <c r="M200" s="319"/>
    </row>
    <row r="201" customFormat="false" ht="12.8" hidden="false" customHeight="false" outlineLevel="0" collapsed="false">
      <c r="M201" s="319"/>
    </row>
    <row r="202" customFormat="false" ht="12.8" hidden="false" customHeight="false" outlineLevel="0" collapsed="false">
      <c r="M202" s="319"/>
    </row>
    <row r="203" customFormat="false" ht="12.8" hidden="false" customHeight="false" outlineLevel="0" collapsed="false">
      <c r="M203" s="319"/>
    </row>
    <row r="204" customFormat="false" ht="12.8" hidden="false" customHeight="false" outlineLevel="0" collapsed="false">
      <c r="M204" s="319"/>
    </row>
    <row r="205" customFormat="false" ht="12.8" hidden="false" customHeight="false" outlineLevel="0" collapsed="false">
      <c r="M205" s="319"/>
    </row>
    <row r="206" customFormat="false" ht="12.8" hidden="false" customHeight="false" outlineLevel="0" collapsed="false">
      <c r="M206" s="319"/>
    </row>
    <row r="207" customFormat="false" ht="12.8" hidden="false" customHeight="false" outlineLevel="0" collapsed="false">
      <c r="M207" s="319"/>
    </row>
    <row r="208" customFormat="false" ht="12.8" hidden="false" customHeight="false" outlineLevel="0" collapsed="false">
      <c r="M208" s="319"/>
    </row>
    <row r="209" customFormat="false" ht="12.8" hidden="false" customHeight="false" outlineLevel="0" collapsed="false">
      <c r="M209" s="319"/>
    </row>
    <row r="210" customFormat="false" ht="12.8" hidden="false" customHeight="false" outlineLevel="0" collapsed="false">
      <c r="M210" s="319"/>
    </row>
    <row r="211" customFormat="false" ht="12.8" hidden="false" customHeight="false" outlineLevel="0" collapsed="false">
      <c r="M211" s="319"/>
    </row>
    <row r="212" customFormat="false" ht="12.8" hidden="false" customHeight="false" outlineLevel="0" collapsed="false">
      <c r="M212" s="319"/>
    </row>
    <row r="213" customFormat="false" ht="12.8" hidden="false" customHeight="false" outlineLevel="0" collapsed="false">
      <c r="M213" s="319"/>
    </row>
    <row r="214" customFormat="false" ht="12.8" hidden="false" customHeight="false" outlineLevel="0" collapsed="false">
      <c r="M214" s="319"/>
    </row>
    <row r="215" customFormat="false" ht="12.8" hidden="false" customHeight="false" outlineLevel="0" collapsed="false">
      <c r="M215" s="319"/>
    </row>
    <row r="216" customFormat="false" ht="12.8" hidden="false" customHeight="false" outlineLevel="0" collapsed="false">
      <c r="M216" s="319"/>
    </row>
    <row r="217" customFormat="false" ht="12.8" hidden="false" customHeight="false" outlineLevel="0" collapsed="false">
      <c r="M217" s="319"/>
    </row>
    <row r="218" customFormat="false" ht="12.8" hidden="false" customHeight="false" outlineLevel="0" collapsed="false">
      <c r="M218" s="319"/>
    </row>
    <row r="219" customFormat="false" ht="12.8" hidden="false" customHeight="false" outlineLevel="0" collapsed="false">
      <c r="M219" s="319"/>
    </row>
    <row r="220" customFormat="false" ht="12.8" hidden="false" customHeight="false" outlineLevel="0" collapsed="false">
      <c r="M220" s="319"/>
    </row>
    <row r="221" customFormat="false" ht="12.8" hidden="false" customHeight="false" outlineLevel="0" collapsed="false">
      <c r="M221" s="319"/>
    </row>
    <row r="222" customFormat="false" ht="12.8" hidden="false" customHeight="false" outlineLevel="0" collapsed="false">
      <c r="M222" s="319"/>
    </row>
    <row r="223" customFormat="false" ht="12.8" hidden="false" customHeight="false" outlineLevel="0" collapsed="false">
      <c r="M223" s="319"/>
    </row>
    <row r="224" customFormat="false" ht="12.8" hidden="false" customHeight="false" outlineLevel="0" collapsed="false">
      <c r="M224" s="319"/>
    </row>
    <row r="225" customFormat="false" ht="12.8" hidden="false" customHeight="false" outlineLevel="0" collapsed="false">
      <c r="M225" s="319"/>
    </row>
    <row r="226" customFormat="false" ht="12.8" hidden="false" customHeight="false" outlineLevel="0" collapsed="false">
      <c r="M226" s="319"/>
    </row>
    <row r="227" customFormat="false" ht="12.8" hidden="false" customHeight="false" outlineLevel="0" collapsed="false">
      <c r="M227" s="319"/>
    </row>
    <row r="228" customFormat="false" ht="12.8" hidden="false" customHeight="false" outlineLevel="0" collapsed="false">
      <c r="M228" s="319"/>
    </row>
    <row r="229" customFormat="false" ht="12.8" hidden="false" customHeight="false" outlineLevel="0" collapsed="false">
      <c r="M229" s="319"/>
    </row>
    <row r="230" customFormat="false" ht="12.8" hidden="false" customHeight="false" outlineLevel="0" collapsed="false">
      <c r="M230" s="319"/>
    </row>
    <row r="231" customFormat="false" ht="12.8" hidden="false" customHeight="false" outlineLevel="0" collapsed="false">
      <c r="M231" s="319"/>
    </row>
    <row r="232" customFormat="false" ht="12.8" hidden="false" customHeight="false" outlineLevel="0" collapsed="false">
      <c r="M232" s="319"/>
    </row>
    <row r="233" customFormat="false" ht="12.8" hidden="false" customHeight="false" outlineLevel="0" collapsed="false">
      <c r="M233" s="319"/>
    </row>
    <row r="234" customFormat="false" ht="12.8" hidden="false" customHeight="false" outlineLevel="0" collapsed="false">
      <c r="M234" s="319"/>
    </row>
    <row r="235" customFormat="false" ht="12.8" hidden="false" customHeight="false" outlineLevel="0" collapsed="false">
      <c r="M235" s="319"/>
    </row>
    <row r="236" customFormat="false" ht="12.8" hidden="false" customHeight="false" outlineLevel="0" collapsed="false">
      <c r="M236" s="319"/>
    </row>
    <row r="237" customFormat="false" ht="12.8" hidden="false" customHeight="false" outlineLevel="0" collapsed="false">
      <c r="M237" s="319"/>
    </row>
    <row r="238" customFormat="false" ht="12.8" hidden="false" customHeight="false" outlineLevel="0" collapsed="false">
      <c r="M238" s="319"/>
    </row>
    <row r="239" customFormat="false" ht="12.8" hidden="false" customHeight="false" outlineLevel="0" collapsed="false">
      <c r="M239" s="319"/>
    </row>
    <row r="240" customFormat="false" ht="12.8" hidden="false" customHeight="false" outlineLevel="0" collapsed="false">
      <c r="M240" s="319"/>
    </row>
    <row r="241" customFormat="false" ht="12.8" hidden="false" customHeight="false" outlineLevel="0" collapsed="false">
      <c r="M241" s="319"/>
    </row>
    <row r="242" customFormat="false" ht="12.8" hidden="false" customHeight="false" outlineLevel="0" collapsed="false">
      <c r="M242" s="319"/>
    </row>
    <row r="243" customFormat="false" ht="12.8" hidden="false" customHeight="false" outlineLevel="0" collapsed="false">
      <c r="M243" s="319"/>
    </row>
    <row r="244" customFormat="false" ht="12.8" hidden="false" customHeight="false" outlineLevel="0" collapsed="false">
      <c r="M244" s="319"/>
    </row>
    <row r="245" customFormat="false" ht="12.8" hidden="false" customHeight="false" outlineLevel="0" collapsed="false">
      <c r="M245" s="319"/>
    </row>
    <row r="246" customFormat="false" ht="12.8" hidden="false" customHeight="false" outlineLevel="0" collapsed="false">
      <c r="M246" s="319"/>
    </row>
    <row r="247" customFormat="false" ht="12.8" hidden="false" customHeight="false" outlineLevel="0" collapsed="false">
      <c r="M247" s="319"/>
    </row>
    <row r="248" customFormat="false" ht="12.8" hidden="false" customHeight="false" outlineLevel="0" collapsed="false">
      <c r="M248" s="319"/>
    </row>
    <row r="249" customFormat="false" ht="12.8" hidden="false" customHeight="false" outlineLevel="0" collapsed="false">
      <c r="M249" s="319"/>
    </row>
    <row r="250" customFormat="false" ht="12.8" hidden="false" customHeight="false" outlineLevel="0" collapsed="false">
      <c r="M250" s="319"/>
    </row>
    <row r="251" customFormat="false" ht="12.8" hidden="false" customHeight="false" outlineLevel="0" collapsed="false">
      <c r="M251" s="319"/>
    </row>
    <row r="252" customFormat="false" ht="12.8" hidden="false" customHeight="false" outlineLevel="0" collapsed="false">
      <c r="M252" s="319"/>
    </row>
    <row r="253" customFormat="false" ht="12.8" hidden="false" customHeight="false" outlineLevel="0" collapsed="false">
      <c r="M253" s="319"/>
    </row>
    <row r="254" customFormat="false" ht="12.8" hidden="false" customHeight="false" outlineLevel="0" collapsed="false">
      <c r="M254" s="319"/>
    </row>
    <row r="255" customFormat="false" ht="12.8" hidden="false" customHeight="false" outlineLevel="0" collapsed="false">
      <c r="M255" s="319"/>
    </row>
    <row r="256" customFormat="false" ht="12.8" hidden="false" customHeight="false" outlineLevel="0" collapsed="false">
      <c r="M256" s="319"/>
    </row>
    <row r="257" customFormat="false" ht="12.8" hidden="false" customHeight="false" outlineLevel="0" collapsed="false">
      <c r="M257" s="319"/>
    </row>
    <row r="258" customFormat="false" ht="12.8" hidden="false" customHeight="false" outlineLevel="0" collapsed="false">
      <c r="M258" s="319"/>
    </row>
    <row r="259" customFormat="false" ht="12.8" hidden="false" customHeight="false" outlineLevel="0" collapsed="false">
      <c r="M259" s="319"/>
    </row>
    <row r="260" customFormat="false" ht="12.8" hidden="false" customHeight="false" outlineLevel="0" collapsed="false">
      <c r="M260" s="319"/>
    </row>
    <row r="261" customFormat="false" ht="12.8" hidden="false" customHeight="false" outlineLevel="0" collapsed="false">
      <c r="M261" s="319"/>
    </row>
    <row r="262" customFormat="false" ht="12.8" hidden="false" customHeight="false" outlineLevel="0" collapsed="false">
      <c r="M262" s="319"/>
    </row>
    <row r="263" customFormat="false" ht="12.8" hidden="false" customHeight="false" outlineLevel="0" collapsed="false">
      <c r="M263" s="319"/>
    </row>
    <row r="264" customFormat="false" ht="12.8" hidden="false" customHeight="false" outlineLevel="0" collapsed="false">
      <c r="M264" s="319"/>
    </row>
    <row r="265" customFormat="false" ht="12.8" hidden="false" customHeight="false" outlineLevel="0" collapsed="false">
      <c r="M265" s="319"/>
    </row>
    <row r="266" customFormat="false" ht="12.8" hidden="false" customHeight="false" outlineLevel="0" collapsed="false">
      <c r="M266" s="319"/>
    </row>
    <row r="267" customFormat="false" ht="12.8" hidden="false" customHeight="false" outlineLevel="0" collapsed="false">
      <c r="M267" s="319"/>
    </row>
    <row r="268" customFormat="false" ht="12.8" hidden="false" customHeight="false" outlineLevel="0" collapsed="false">
      <c r="M268" s="319"/>
    </row>
    <row r="269" customFormat="false" ht="12.8" hidden="false" customHeight="false" outlineLevel="0" collapsed="false">
      <c r="M269" s="319"/>
    </row>
    <row r="270" customFormat="false" ht="12.8" hidden="false" customHeight="false" outlineLevel="0" collapsed="false">
      <c r="M270" s="319"/>
    </row>
    <row r="276" customFormat="false" ht="12.8" hidden="false" customHeight="false" outlineLevel="0" collapsed="false">
      <c r="M276" s="319"/>
    </row>
    <row r="277" customFormat="false" ht="12.8" hidden="false" customHeight="false" outlineLevel="0" collapsed="false">
      <c r="M277" s="319"/>
    </row>
    <row r="278" customFormat="false" ht="12.8" hidden="false" customHeight="false" outlineLevel="0" collapsed="false">
      <c r="M278" s="319"/>
    </row>
    <row r="279" customFormat="false" ht="12.8" hidden="false" customHeight="false" outlineLevel="0" collapsed="false">
      <c r="M279" s="319"/>
    </row>
  </sheetData>
  <conditionalFormatting sqref="J3:J19">
    <cfRule type="expression" priority="2" aboveAverage="0" equalAverage="0" bottom="0" percent="0" rank="0" text="" dxfId="45">
      <formula>OR(J3="",J3&gt;TODAY())</formula>
    </cfRule>
    <cfRule type="expression" priority="3" aboveAverage="0" equalAverage="0" bottom="0" percent="0" rank="0" text="" dxfId="46">
      <formula>J3=TODAY()</formula>
    </cfRule>
    <cfRule type="expression" priority="4" aboveAverage="0" equalAverage="0" bottom="0" percent="0" rank="0" text="" dxfId="47">
      <formula>J3&lt;TODAY()</formula>
    </cfRule>
  </conditionalFormatting>
  <conditionalFormatting sqref="J20:J22">
    <cfRule type="expression" priority="5" aboveAverage="0" equalAverage="0" bottom="0" percent="0" rank="0" text="" dxfId="48">
      <formula>OR(J20="",J20&gt;TODAY())</formula>
    </cfRule>
    <cfRule type="expression" priority="6" aboveAverage="0" equalAverage="0" bottom="0" percent="0" rank="0" text="" dxfId="49">
      <formula>J20=TODAY()</formula>
    </cfRule>
    <cfRule type="expression" priority="7" aboveAverage="0" equalAverage="0" bottom="0" percent="0" rank="0" text="" dxfId="50">
      <formula>J20&lt;TODAY()</formula>
    </cfRule>
  </conditionalFormatting>
  <conditionalFormatting sqref="K3:K22">
    <cfRule type="cellIs" priority="8" operator="equal" aboveAverage="0" equalAverage="0" bottom="0" percent="0" rank="0" text="" dxfId="51">
      <formula>"***"</formula>
    </cfRule>
  </conditionalFormatting>
  <conditionalFormatting sqref="K14">
    <cfRule type="cellIs" priority="9" operator="equal" aboveAverage="0" equalAverage="0" bottom="0" percent="0" rank="0" text="" dxfId="52">
      <formula>"***"</formula>
    </cfRule>
  </conditionalFormatting>
  <conditionalFormatting sqref="S3:AD17">
    <cfRule type="dataBar" priority="10">
      <dataBar showValue="1" minLength="10" maxLength="90">
        <cfvo type="min" val="0"/>
        <cfvo type="max" val="0"/>
        <color rgb="FF93CDDD"/>
      </dataBar>
      <extLst>
        <ext xmlns:x14="http://schemas.microsoft.com/office/spreadsheetml/2009/9/main" uri="{B025F937-C7B1-47D3-B67F-A62EFF666E3E}">
          <x14:id>{291CB875-A5F0-4DE7-AF37-611D8621DF6C}</x14:id>
        </ext>
      </extLst>
    </cfRule>
  </conditionalFormatting>
  <conditionalFormatting sqref="Q3:Q17">
    <cfRule type="dataBar" priority="11">
      <dataBar showValue="1" minLength="10" maxLength="90"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{DF3BD023-DFBB-4EF4-A699-1814A6D2AB3A}</x14:id>
        </ext>
      </extLst>
    </cfRule>
  </conditionalFormatting>
  <conditionalFormatting sqref="P3:P17">
    <cfRule type="dataBar" priority="12">
      <dataBar showValue="1" minLength="10" maxLength="90">
        <cfvo type="min" val="0"/>
        <cfvo type="max" val="0"/>
        <color rgb="FF8EB4E3"/>
      </dataBar>
      <extLst>
        <ext xmlns:x14="http://schemas.microsoft.com/office/spreadsheetml/2009/9/main" uri="{B025F937-C7B1-47D3-B67F-A62EFF666E3E}">
          <x14:id>{E4CB7C11-1DCB-4BB5-AFDB-4BA9883DE7B0}</x14:id>
        </ext>
      </extLst>
    </cfRule>
  </conditionalFormatting>
  <conditionalFormatting sqref="K4:K10">
    <cfRule type="cellIs" priority="13" operator="equal" aboveAverage="0" equalAverage="0" bottom="0" percent="0" rank="0" text="" dxfId="53">
      <formula>"***"</formula>
    </cfRule>
  </conditionalFormatting>
  <conditionalFormatting sqref="K16">
    <cfRule type="cellIs" priority="14" operator="equal" aboveAverage="0" equalAverage="0" bottom="0" percent="0" rank="0" text="" dxfId="54">
      <formula>"***"</formula>
    </cfRule>
  </conditionalFormatting>
  <conditionalFormatting sqref="S18:AD18">
    <cfRule type="dataBar" priority="15">
      <dataBar showValue="1" minLength="10" maxLength="90"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{5C9C41C0-1CCB-4C77-BCCE-F35C374BC69B}</x14:id>
        </ext>
      </extLst>
    </cfRule>
  </conditionalFormatting>
  <conditionalFormatting sqref="J3:J19">
    <cfRule type="expression" priority="16" aboveAverage="0" equalAverage="0" bottom="0" percent="0" rank="0" text="" dxfId="55">
      <formula>OR(J3="",J3&gt;TODAY())</formula>
    </cfRule>
    <cfRule type="expression" priority="17" aboveAverage="0" equalAverage="0" bottom="0" percent="0" rank="0" text="" dxfId="56">
      <formula>J3=TODAY()</formula>
    </cfRule>
    <cfRule type="expression" priority="18" aboveAverage="0" equalAverage="0" bottom="0" percent="0" rank="0" text="" dxfId="57">
      <formula>J3&lt;TODAY()</formula>
    </cfRule>
  </conditionalFormatting>
  <conditionalFormatting sqref="R18">
    <cfRule type="dataBar" priority="19">
      <dataBar showValue="1" minLength="10" maxLength="90"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{804B985A-62D1-4CCB-B352-6629E9EE9670}</x14:id>
        </ext>
      </extLst>
    </cfRule>
  </conditionalFormatting>
  <conditionalFormatting sqref="R15:R17 R3:R12">
    <cfRule type="dataBar" priority="20">
      <dataBar showValue="1" minLength="10" maxLength="90">
        <cfvo type="min" val="0"/>
        <cfvo type="max" val="0"/>
        <color rgb="FF93CDDD"/>
      </dataBar>
      <extLst>
        <ext xmlns:x14="http://schemas.microsoft.com/office/spreadsheetml/2009/9/main" uri="{B025F937-C7B1-47D3-B67F-A62EFF666E3E}">
          <x14:id>{FBAA5FAF-4990-45A2-B576-38F2423A433E}</x14:id>
        </ext>
      </extLst>
    </cfRule>
  </conditionalFormatting>
  <conditionalFormatting sqref="R13:R14">
    <cfRule type="dataBar" priority="21">
      <dataBar showValue="1" minLength="10" maxLength="90">
        <cfvo type="min" val="0"/>
        <cfvo type="max" val="0"/>
        <color rgb="FF93CDDD"/>
      </dataBar>
      <extLst>
        <ext xmlns:x14="http://schemas.microsoft.com/office/spreadsheetml/2009/9/main" uri="{B025F937-C7B1-47D3-B67F-A62EFF666E3E}">
          <x14:id>{BB453C27-C434-4CEF-9613-9E13589C80AE}</x14:id>
        </ext>
      </extLst>
    </cfRule>
  </conditionalFormatting>
  <dataValidations count="1">
    <dataValidation allowBlank="true" errorStyle="stop" operator="equal" showDropDown="false" showErrorMessage="true" showInputMessage="true" sqref="C25:C54" type="list">
      <formula1>#ref!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91CB875-A5F0-4DE7-AF37-611D8621DF6C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S3:AD17</xm:sqref>
        </x14:conditionalFormatting>
        <x14:conditionalFormatting xmlns:xm="http://schemas.microsoft.com/office/excel/2006/main">
          <x14:cfRule type="dataBar" id="{DF3BD023-DFBB-4EF4-A699-1814A6D2AB3A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Q3:Q17</xm:sqref>
        </x14:conditionalFormatting>
        <x14:conditionalFormatting xmlns:xm="http://schemas.microsoft.com/office/excel/2006/main">
          <x14:cfRule type="dataBar" id="{E4CB7C11-1DCB-4BB5-AFDB-4BA9883DE7B0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P3:P17</xm:sqref>
        </x14:conditionalFormatting>
        <x14:conditionalFormatting xmlns:xm="http://schemas.microsoft.com/office/excel/2006/main">
          <x14:cfRule type="dataBar" id="{5C9C41C0-1CCB-4C77-BCCE-F35C374BC69B}">
            <x14:dataBar minLength="10" maxLength="90" axisPosition="automatic" gradient="true">
              <x14:cfvo type="autoMin"/>
              <x14:cfvo type="autoMax"/>
              <x14:negativeFillColor rgb="FFFF0000"/>
              <x14:axisColor rgb="FF000000"/>
            </x14:dataBar>
          </x14:cfRule>
          <xm:sqref>S18:AD18</xm:sqref>
        </x14:conditionalFormatting>
        <x14:conditionalFormatting xmlns:xm="http://schemas.microsoft.com/office/excel/2006/main">
          <x14:cfRule type="dataBar" id="{804B985A-62D1-4CCB-B352-6629E9EE9670}">
            <x14:dataBar minLength="10" maxLength="90" axisPosition="automatic" gradient="true">
              <x14:cfvo type="autoMin"/>
              <x14:cfvo type="autoMax"/>
              <x14:negativeFillColor rgb="FFFF0000"/>
              <x14:axisColor rgb="FF000000"/>
            </x14:dataBar>
          </x14:cfRule>
          <xm:sqref>R18</xm:sqref>
        </x14:conditionalFormatting>
        <x14:conditionalFormatting xmlns:xm="http://schemas.microsoft.com/office/excel/2006/main">
          <x14:cfRule type="dataBar" id="{FBAA5FAF-4990-45A2-B576-38F2423A433E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R15:R17 R3:R12</xm:sqref>
        </x14:conditionalFormatting>
        <x14:conditionalFormatting xmlns:xm="http://schemas.microsoft.com/office/excel/2006/main">
          <x14:cfRule type="dataBar" id="{BB453C27-C434-4CEF-9613-9E13589C80AE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R13:R14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33399"/>
    <pageSetUpPr fitToPage="false"/>
  </sheetPr>
  <dimension ref="B1:U1029"/>
  <sheetViews>
    <sheetView showFormulas="false" showGridLines="true" showRowColHeaders="true" showZeros="true" rightToLeft="false" tabSelected="false" showOutlineSymbols="true" defaultGridColor="true" view="normal" topLeftCell="A967" colorId="64" zoomScale="100" zoomScaleNormal="100" zoomScalePageLayoutView="100" workbookViewId="0">
      <selection pane="topLeft" activeCell="H985" activeCellId="0" sqref="H985"/>
    </sheetView>
  </sheetViews>
  <sheetFormatPr defaultColWidth="9.171875" defaultRowHeight="12.8" zeroHeight="false" outlineLevelRow="0" outlineLevelCol="0"/>
  <cols>
    <col collapsed="false" customWidth="true" hidden="false" outlineLevel="0" max="1" min="1" style="324" width="1.33"/>
    <col collapsed="false" customWidth="true" hidden="false" outlineLevel="0" max="2" min="2" style="324" width="9.56"/>
    <col collapsed="false" customWidth="true" hidden="false" outlineLevel="0" max="3" min="3" style="324" width="5.55"/>
    <col collapsed="false" customWidth="true" hidden="false" outlineLevel="0" max="4" min="4" style="324" width="8.16"/>
    <col collapsed="false" customWidth="true" hidden="false" outlineLevel="0" max="5" min="5" style="325" width="10.33"/>
    <col collapsed="false" customWidth="true" hidden="true" outlineLevel="0" max="6" min="6" style="325" width="10.33"/>
    <col collapsed="false" customWidth="true" hidden="true" outlineLevel="0" max="7" min="7" style="325" width="9.83"/>
    <col collapsed="false" customWidth="true" hidden="false" outlineLevel="0" max="8" min="8" style="324" width="10.89"/>
    <col collapsed="false" customWidth="false" hidden="false" outlineLevel="0" max="9" min="9" style="324" width="9.16"/>
    <col collapsed="false" customWidth="false" hidden="false" outlineLevel="0" max="10" min="10" style="324" width="9.13"/>
    <col collapsed="false" customWidth="true" hidden="false" outlineLevel="0" max="11" min="11" style="324" width="7.83"/>
    <col collapsed="false" customWidth="true" hidden="false" outlineLevel="0" max="12" min="12" style="324" width="63.29"/>
    <col collapsed="false" customWidth="true" hidden="true" outlineLevel="0" max="13" min="13" style="324" width="7.15"/>
    <col collapsed="false" customWidth="true" hidden="true" outlineLevel="0" max="14" min="14" style="326" width="16.07"/>
    <col collapsed="false" customWidth="true" hidden="false" outlineLevel="0" max="15" min="15" style="324" width="1.16"/>
    <col collapsed="false" customWidth="true" hidden="false" outlineLevel="0" max="16" min="16" style="327" width="13.52"/>
    <col collapsed="false" customWidth="true" hidden="false" outlineLevel="0" max="17" min="17" style="324" width="10.45"/>
    <col collapsed="false" customWidth="true" hidden="false" outlineLevel="0" max="18" min="18" style="324" width="9.44"/>
    <col collapsed="false" customWidth="true" hidden="false" outlineLevel="0" max="22" min="19" style="324" width="8.44"/>
    <col collapsed="false" customWidth="true" hidden="false" outlineLevel="0" max="24" min="23" style="324" width="9"/>
    <col collapsed="false" customWidth="true" hidden="false" outlineLevel="0" max="25" min="25" style="324" width="8.44"/>
    <col collapsed="false" customWidth="true" hidden="false" outlineLevel="0" max="26" min="26" style="324" width="9"/>
    <col collapsed="false" customWidth="true" hidden="false" outlineLevel="0" max="30" min="27" style="324" width="8.44"/>
    <col collapsed="false" customWidth="false" hidden="false" outlineLevel="0" max="1023" min="31" style="324" width="9.16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M1" s="328"/>
      <c r="N1" s="328"/>
      <c r="O1" s="329"/>
      <c r="P1" s="330"/>
      <c r="Q1" s="329"/>
      <c r="R1" s="329"/>
    </row>
    <row r="2" customFormat="false" ht="12.8" hidden="false" customHeight="false" outlineLevel="0" collapsed="false">
      <c r="B2" s="331" t="s">
        <v>326</v>
      </c>
      <c r="C2" s="332" t="s">
        <v>327</v>
      </c>
      <c r="D2" s="332" t="s">
        <v>328</v>
      </c>
      <c r="E2" s="331" t="s">
        <v>329</v>
      </c>
      <c r="F2" s="331" t="s">
        <v>330</v>
      </c>
      <c r="G2" s="331" t="s">
        <v>281</v>
      </c>
      <c r="H2" s="331" t="s">
        <v>331</v>
      </c>
      <c r="I2" s="331" t="s">
        <v>332</v>
      </c>
      <c r="J2" s="331" t="s">
        <v>333</v>
      </c>
      <c r="K2" s="331" t="s">
        <v>334</v>
      </c>
      <c r="L2" s="331" t="s">
        <v>214</v>
      </c>
      <c r="M2" s="333" t="s">
        <v>335</v>
      </c>
      <c r="N2" s="334" t="s">
        <v>336</v>
      </c>
      <c r="O2" s="335"/>
      <c r="P2" s="335"/>
      <c r="Q2" s="336"/>
      <c r="R2" s="337"/>
      <c r="T2" s="327"/>
    </row>
    <row r="3" customFormat="false" ht="12.8" hidden="false" customHeight="false" outlineLevel="0" collapsed="false">
      <c r="B3" s="338" t="n">
        <v>41201</v>
      </c>
      <c r="C3" s="339" t="n">
        <f aca="false">YEAR('LT records'!$B3)</f>
        <v>2012</v>
      </c>
      <c r="D3" s="327" t="str">
        <f aca="false">'LT records'!$C3&amp;"-"&amp;MONTH('LT records'!$B3)</f>
        <v>2012-10</v>
      </c>
      <c r="E3" s="324" t="s">
        <v>337</v>
      </c>
      <c r="F3" s="324" t="str">
        <f aca="false">LEFT('LT records'!$E3,3)</f>
        <v>MyF</v>
      </c>
      <c r="G3" s="324" t="str">
        <f aca="false">IF(OR('LT records'!$F3="MyF", 'LT records'!$F3="DEP"),"DEP",IF('LT records'!$F3="CSH","CSH",IF('LT records'!$F3="BON","BND",IF('LT records'!$F3="Sma","MKT",IF(OR('LT records'!$F3="Val", 'LT records'!$F3="EUR"),"FCY",IF('LT records'!$F3="X-P","PP3",IF('LT records'!$F3="X-m","XAU","???")))))))</f>
        <v>DEP</v>
      </c>
      <c r="H3" s="325" t="n">
        <v>1000</v>
      </c>
      <c r="I3" s="340" t="n">
        <v>10.65</v>
      </c>
      <c r="J3" s="325"/>
      <c r="K3" s="340"/>
      <c r="L3" s="341" t="s">
        <v>338</v>
      </c>
      <c r="M3" s="342" t="str">
        <f aca="false">YEAR('LT records'!$B3)&amp;"-"&amp;MONTH('LT records'!$B3)</f>
        <v>2012-10</v>
      </c>
      <c r="N3" s="343" t="n">
        <f aca="false">'LT records'!$H3+'LT records'!$I3</f>
        <v>1010.65</v>
      </c>
      <c r="O3" s="335"/>
      <c r="P3" s="335"/>
      <c r="Q3" s="344"/>
      <c r="R3" s="344"/>
      <c r="T3" s="327"/>
    </row>
    <row r="4" customFormat="false" ht="12.8" hidden="false" customHeight="false" outlineLevel="0" collapsed="false">
      <c r="B4" s="338" t="n">
        <v>41201</v>
      </c>
      <c r="C4" s="345" t="n">
        <f aca="false">YEAR('LT records'!$B4)</f>
        <v>2012</v>
      </c>
      <c r="D4" s="346" t="str">
        <f aca="false">'LT records'!$C4&amp;"-"&amp;MONTH('LT records'!$B4)</f>
        <v>2012-10</v>
      </c>
      <c r="E4" s="324" t="s">
        <v>337</v>
      </c>
      <c r="F4" s="324" t="str">
        <f aca="false">LEFT('LT records'!$E4,3)</f>
        <v>MyF</v>
      </c>
      <c r="G4" s="324" t="str">
        <f aca="false">IF(OR('LT records'!$F4="MyF", 'LT records'!$F4="DEP"),"DEP",IF('LT records'!$F4="CSH","CSH",IF('LT records'!$F4="BON","BND",IF('LT records'!$F4="Sma","MKT",IF(OR('LT records'!$F4="Val", 'LT records'!$F4="EUR"),"FCY",IF('LT records'!$F4="X-P","PP3",IF('LT records'!$F4="X-m","XAU","???")))))))</f>
        <v>DEP</v>
      </c>
      <c r="H4" s="325" t="n">
        <v>1000</v>
      </c>
      <c r="I4" s="340" t="n">
        <v>2.07</v>
      </c>
      <c r="J4" s="325"/>
      <c r="K4" s="340"/>
      <c r="L4" s="341" t="s">
        <v>339</v>
      </c>
      <c r="M4" s="342" t="str">
        <f aca="false">YEAR('LT records'!$B4)&amp;"-"&amp;MONTH('LT records'!$B4)</f>
        <v>2012-10</v>
      </c>
      <c r="N4" s="343" t="n">
        <f aca="false">'LT records'!$H4+'LT records'!$I4</f>
        <v>1002.07</v>
      </c>
      <c r="O4" s="335"/>
      <c r="P4" s="335"/>
      <c r="Q4" s="336"/>
      <c r="R4" s="337"/>
      <c r="T4" s="327"/>
    </row>
    <row r="5" customFormat="false" ht="12.8" hidden="false" customHeight="false" outlineLevel="0" collapsed="false">
      <c r="B5" s="338" t="n">
        <v>41214</v>
      </c>
      <c r="C5" s="345" t="n">
        <f aca="false">YEAR('LT records'!$B5)</f>
        <v>2012</v>
      </c>
      <c r="D5" s="346" t="str">
        <f aca="false">'LT records'!$C5&amp;"-"&amp;MONTH('LT records'!$B5)</f>
        <v>2012-11</v>
      </c>
      <c r="E5" s="324" t="s">
        <v>340</v>
      </c>
      <c r="F5" s="324" t="str">
        <f aca="false">LEFT('LT records'!$E5,3)</f>
        <v>MyF</v>
      </c>
      <c r="G5" s="324" t="str">
        <f aca="false">IF(OR('LT records'!$F5="MyF", 'LT records'!$F5="DEP"),"DEP",IF('LT records'!$F5="CSH","CSH",IF('LT records'!$F5="BON","BND",IF('LT records'!$F5="Sma","MKT",IF(OR('LT records'!$F5="Val", 'LT records'!$F5="EUR"),"FCY",IF('LT records'!$F5="X-P","PP3",IF('LT records'!$F5="X-m","XAU","???")))))))</f>
        <v>DEP</v>
      </c>
      <c r="H5" s="325" t="n">
        <v>1000</v>
      </c>
      <c r="I5" s="340"/>
      <c r="J5" s="325"/>
      <c r="K5" s="340"/>
      <c r="L5" s="341" t="s">
        <v>341</v>
      </c>
      <c r="M5" s="342" t="str">
        <f aca="false">YEAR('LT records'!$B5)&amp;"-"&amp;MONTH('LT records'!$B5)</f>
        <v>2012-11</v>
      </c>
      <c r="N5" s="343" t="n">
        <f aca="false">'LT records'!$H5+'LT records'!$I5</f>
        <v>1000</v>
      </c>
      <c r="O5" s="335"/>
      <c r="P5" s="335"/>
      <c r="Q5" s="336"/>
      <c r="R5" s="337"/>
      <c r="T5" s="327"/>
    </row>
    <row r="6" customFormat="false" ht="12.8" hidden="false" customHeight="false" outlineLevel="0" collapsed="false">
      <c r="B6" s="338" t="n">
        <v>41232</v>
      </c>
      <c r="C6" s="345" t="n">
        <f aca="false">YEAR('LT records'!$B6)</f>
        <v>2012</v>
      </c>
      <c r="D6" s="346" t="str">
        <f aca="false">'LT records'!$C6&amp;"-"&amp;MONTH('LT records'!$B6)</f>
        <v>2012-11</v>
      </c>
      <c r="E6" s="324" t="s">
        <v>337</v>
      </c>
      <c r="F6" s="324" t="str">
        <f aca="false">LEFT('LT records'!$E6,3)</f>
        <v>MyF</v>
      </c>
      <c r="G6" s="324" t="str">
        <f aca="false">IF(OR('LT records'!$F6="MyF", 'LT records'!$F6="DEP"),"DEP",IF('LT records'!$F6="CSH","CSH",IF('LT records'!$F6="BON","BND",IF('LT records'!$F6="Sma","MKT",IF(OR('LT records'!$F6="Val", 'LT records'!$F6="EUR"),"FCY",IF('LT records'!$F6="X-P","PP3",IF('LT records'!$F6="X-m","XAU","???")))))))</f>
        <v>DEP</v>
      </c>
      <c r="H6" s="325" t="n">
        <v>0</v>
      </c>
      <c r="I6" s="340" t="n">
        <f aca="false">5.47-0.88</f>
        <v>4.59</v>
      </c>
      <c r="J6" s="325"/>
      <c r="K6" s="340"/>
      <c r="L6" s="341" t="s">
        <v>342</v>
      </c>
      <c r="M6" s="342" t="str">
        <f aca="false">YEAR('LT records'!$B6)&amp;"-"&amp;MONTH('LT records'!$B6)</f>
        <v>2012-11</v>
      </c>
      <c r="N6" s="343" t="n">
        <f aca="false">'LT records'!$H6+'LT records'!$I6</f>
        <v>4.59</v>
      </c>
      <c r="O6" s="335"/>
      <c r="P6" s="335"/>
      <c r="Q6" s="336"/>
      <c r="R6" s="337"/>
      <c r="T6" s="327"/>
    </row>
    <row r="7" customFormat="false" ht="12.8" hidden="false" customHeight="false" outlineLevel="0" collapsed="false">
      <c r="B7" s="338" t="n">
        <v>41232</v>
      </c>
      <c r="C7" s="345" t="n">
        <f aca="false">YEAR('LT records'!$B7)</f>
        <v>2012</v>
      </c>
      <c r="D7" s="346" t="str">
        <f aca="false">'LT records'!$C7&amp;"-"&amp;MONTH('LT records'!$B7)</f>
        <v>2012-11</v>
      </c>
      <c r="E7" s="324" t="s">
        <v>337</v>
      </c>
      <c r="F7" s="324" t="str">
        <f aca="false">LEFT('LT records'!$E7,3)</f>
        <v>MyF</v>
      </c>
      <c r="G7" s="324" t="str">
        <f aca="false">IF(OR('LT records'!$F7="MyF", 'LT records'!$F7="DEP"),"DEP",IF('LT records'!$F7="CSH","CSH",IF('LT records'!$F7="BON","BND",IF('LT records'!$F7="Sma","MKT",IF(OR('LT records'!$F7="Val", 'LT records'!$F7="EUR"),"FCY",IF('LT records'!$F7="X-P","PP3",IF('LT records'!$F7="X-m","XAU","???")))))))</f>
        <v>DEP</v>
      </c>
      <c r="H7" s="325" t="n">
        <v>0</v>
      </c>
      <c r="I7" s="340" t="n">
        <f aca="false">5.26-0.84</f>
        <v>4.42</v>
      </c>
      <c r="J7" s="325"/>
      <c r="K7" s="340"/>
      <c r="L7" s="341" t="s">
        <v>342</v>
      </c>
      <c r="M7" s="342" t="str">
        <f aca="false">YEAR('LT records'!$B7)&amp;"-"&amp;MONTH('LT records'!$B7)</f>
        <v>2012-11</v>
      </c>
      <c r="N7" s="343" t="n">
        <f aca="false">'LT records'!$H7+'LT records'!$I7</f>
        <v>4.42</v>
      </c>
      <c r="O7" s="335"/>
      <c r="P7" s="335"/>
      <c r="Q7" s="336"/>
      <c r="R7" s="337"/>
      <c r="T7" s="327"/>
    </row>
    <row r="8" customFormat="false" ht="12.8" hidden="false" customHeight="false" outlineLevel="0" collapsed="false">
      <c r="B8" s="338" t="n">
        <v>41232</v>
      </c>
      <c r="C8" s="345" t="n">
        <f aca="false">YEAR('LT records'!$B8)</f>
        <v>2012</v>
      </c>
      <c r="D8" s="346" t="str">
        <f aca="false">'LT records'!$C8&amp;"-"&amp;MONTH('LT records'!$B8)</f>
        <v>2012-11</v>
      </c>
      <c r="E8" s="324" t="s">
        <v>340</v>
      </c>
      <c r="F8" s="324" t="str">
        <f aca="false">LEFT('LT records'!$E8,3)</f>
        <v>MyF</v>
      </c>
      <c r="G8" s="324" t="str">
        <f aca="false">IF(OR('LT records'!$F8="MyF", 'LT records'!$F8="DEP"),"DEP",IF('LT records'!$F8="CSH","CSH",IF('LT records'!$F8="BON","BND",IF('LT records'!$F8="Sma","MKT",IF(OR('LT records'!$F8="Val", 'LT records'!$F8="EUR"),"FCY",IF('LT records'!$F8="X-P","PP3",IF('LT records'!$F8="X-m","XAU","???")))))))</f>
        <v>DEP</v>
      </c>
      <c r="H8" s="325" t="n">
        <v>-1000</v>
      </c>
      <c r="I8" s="340"/>
      <c r="J8" s="325"/>
      <c r="K8" s="340"/>
      <c r="L8" s="341" t="s">
        <v>343</v>
      </c>
      <c r="M8" s="342" t="str">
        <f aca="false">YEAR('LT records'!$B8)&amp;"-"&amp;MONTH('LT records'!$B8)</f>
        <v>2012-11</v>
      </c>
      <c r="N8" s="343" t="n">
        <f aca="false">'LT records'!$H8+'LT records'!$I8</f>
        <v>-1000</v>
      </c>
      <c r="O8" s="335"/>
      <c r="P8" s="335"/>
      <c r="Q8" s="336"/>
      <c r="R8" s="337"/>
      <c r="T8" s="327"/>
    </row>
    <row r="9" customFormat="false" ht="12.8" hidden="false" customHeight="false" outlineLevel="0" collapsed="false">
      <c r="B9" s="338" t="n">
        <v>41232</v>
      </c>
      <c r="C9" s="345" t="n">
        <f aca="false">YEAR('LT records'!$B9)</f>
        <v>2012</v>
      </c>
      <c r="D9" s="346" t="str">
        <f aca="false">'LT records'!$C9&amp;"-"&amp;MONTH('LT records'!$B9)</f>
        <v>2012-11</v>
      </c>
      <c r="E9" s="324" t="s">
        <v>344</v>
      </c>
      <c r="F9" s="324" t="str">
        <f aca="false">LEFT('LT records'!$E9,3)</f>
        <v>MyF</v>
      </c>
      <c r="G9" s="324" t="str">
        <f aca="false">IF(OR('LT records'!$F9="MyF", 'LT records'!$F9="DEP"),"DEP",IF('LT records'!$F9="CSH","CSH",IF('LT records'!$F9="BON","BND",IF('LT records'!$F9="Sma","MKT",IF(OR('LT records'!$F9="Val", 'LT records'!$F9="EUR"),"FCY",IF('LT records'!$F9="X-P","PP3",IF('LT records'!$F9="X-m","XAU","???")))))))</f>
        <v>DEP</v>
      </c>
      <c r="H9" s="325" t="n">
        <v>1000</v>
      </c>
      <c r="I9" s="340"/>
      <c r="J9" s="325"/>
      <c r="K9" s="340"/>
      <c r="L9" s="341" t="s">
        <v>345</v>
      </c>
      <c r="M9" s="342" t="str">
        <f aca="false">YEAR('LT records'!$B9)&amp;"-"&amp;MONTH('LT records'!$B9)</f>
        <v>2012-11</v>
      </c>
      <c r="N9" s="343" t="n">
        <f aca="false">'LT records'!$H9+'LT records'!$I9</f>
        <v>1000</v>
      </c>
      <c r="O9" s="335"/>
      <c r="P9" s="335"/>
      <c r="Q9" s="336"/>
      <c r="R9" s="337"/>
      <c r="T9" s="327"/>
    </row>
    <row r="10" customFormat="false" ht="12.8" hidden="false" customHeight="false" outlineLevel="0" collapsed="false">
      <c r="B10" s="338" t="n">
        <v>41246</v>
      </c>
      <c r="C10" s="345" t="n">
        <f aca="false">YEAR('LT records'!$B10)</f>
        <v>2012</v>
      </c>
      <c r="D10" s="346" t="str">
        <f aca="false">'LT records'!$C10&amp;"-"&amp;MONTH('LT records'!$B10)</f>
        <v>2012-12</v>
      </c>
      <c r="E10" s="324" t="s">
        <v>344</v>
      </c>
      <c r="F10" s="324" t="str">
        <f aca="false">LEFT('LT records'!$E10,3)</f>
        <v>MyF</v>
      </c>
      <c r="G10" s="324" t="str">
        <f aca="false">IF(OR('LT records'!$F10="MyF", 'LT records'!$F10="DEP"),"DEP",IF('LT records'!$F10="CSH","CSH",IF('LT records'!$F10="BON","BND",IF('LT records'!$F10="Sma","MKT",IF(OR('LT records'!$F10="Val", 'LT records'!$F10="EUR"),"FCY",IF('LT records'!$F10="X-P","PP3",IF('LT records'!$F10="X-m","XAU","???")))))))</f>
        <v>DEP</v>
      </c>
      <c r="H10" s="325" t="n">
        <v>0</v>
      </c>
      <c r="I10" s="340" t="n">
        <v>4.23</v>
      </c>
      <c r="J10" s="325"/>
      <c r="K10" s="340"/>
      <c r="L10" s="341" t="s">
        <v>346</v>
      </c>
      <c r="M10" s="342" t="str">
        <f aca="false">YEAR('LT records'!$B10)&amp;"-"&amp;MONTH('LT records'!$B10)</f>
        <v>2012-12</v>
      </c>
      <c r="N10" s="343" t="n">
        <f aca="false">'LT records'!$H10+'LT records'!$I10</f>
        <v>4.23</v>
      </c>
      <c r="O10" s="335"/>
      <c r="P10" s="335"/>
      <c r="Q10" s="336"/>
      <c r="R10" s="337"/>
      <c r="T10" s="327"/>
    </row>
    <row r="11" customFormat="false" ht="12.8" hidden="false" customHeight="false" outlineLevel="0" collapsed="false">
      <c r="B11" s="338" t="n">
        <v>41246</v>
      </c>
      <c r="C11" s="345" t="n">
        <f aca="false">YEAR('LT records'!$B11)</f>
        <v>2012</v>
      </c>
      <c r="D11" s="346" t="str">
        <f aca="false">'LT records'!$C11&amp;"-"&amp;MONTH('LT records'!$B11)</f>
        <v>2012-12</v>
      </c>
      <c r="E11" s="324" t="s">
        <v>344</v>
      </c>
      <c r="F11" s="324" t="str">
        <f aca="false">LEFT('LT records'!$E11,3)</f>
        <v>MyF</v>
      </c>
      <c r="G11" s="324" t="str">
        <f aca="false">IF(OR('LT records'!$F11="MyF", 'LT records'!$F11="DEP"),"DEP",IF('LT records'!$F11="CSH","CSH",IF('LT records'!$F11="BON","BND",IF('LT records'!$F11="Sma","MKT",IF(OR('LT records'!$F11="Val", 'LT records'!$F11="EUR"),"FCY",IF('LT records'!$F11="X-P","PP3",IF('LT records'!$F11="X-m","XAU","???")))))))</f>
        <v>DEP</v>
      </c>
      <c r="H11" s="325" t="n">
        <v>2000</v>
      </c>
      <c r="I11" s="340"/>
      <c r="J11" s="325"/>
      <c r="K11" s="340"/>
      <c r="L11" s="341" t="s">
        <v>347</v>
      </c>
      <c r="M11" s="342" t="str">
        <f aca="false">YEAR('LT records'!$B11)&amp;"-"&amp;MONTH('LT records'!$B11)</f>
        <v>2012-12</v>
      </c>
      <c r="N11" s="343" t="n">
        <f aca="false">'LT records'!$H11+'LT records'!$I11</f>
        <v>2000</v>
      </c>
      <c r="O11" s="335"/>
      <c r="P11" s="335"/>
      <c r="Q11" s="336"/>
      <c r="R11" s="337"/>
      <c r="T11" s="327"/>
    </row>
    <row r="12" customFormat="false" ht="12.8" hidden="false" customHeight="false" outlineLevel="0" collapsed="false">
      <c r="B12" s="338" t="n">
        <v>41262</v>
      </c>
      <c r="C12" s="345" t="n">
        <f aca="false">YEAR('LT records'!$B12)</f>
        <v>2012</v>
      </c>
      <c r="D12" s="346" t="str">
        <f aca="false">'LT records'!$C12&amp;"-"&amp;MONTH('LT records'!$B12)</f>
        <v>2012-12</v>
      </c>
      <c r="E12" s="324" t="s">
        <v>337</v>
      </c>
      <c r="F12" s="324" t="str">
        <f aca="false">LEFT('LT records'!$E12,3)</f>
        <v>MyF</v>
      </c>
      <c r="G12" s="324" t="str">
        <f aca="false">IF(OR('LT records'!$F12="MyF", 'LT records'!$F12="DEP"),"DEP",IF('LT records'!$F12="CSH","CSH",IF('LT records'!$F12="BON","BND",IF('LT records'!$F12="Sma","MKT",IF(OR('LT records'!$F12="Val", 'LT records'!$F12="EUR"),"FCY",IF('LT records'!$F12="X-P","PP3",IF('LT records'!$F12="X-m","XAU","???")))))))</f>
        <v>DEP</v>
      </c>
      <c r="H12" s="325" t="n">
        <v>0</v>
      </c>
      <c r="I12" s="340" t="n">
        <f aca="false">9.53-1.52</f>
        <v>8.01</v>
      </c>
      <c r="J12" s="325"/>
      <c r="K12" s="340"/>
      <c r="L12" s="341" t="s">
        <v>342</v>
      </c>
      <c r="M12" s="342" t="str">
        <f aca="false">YEAR('LT records'!$B12)&amp;"-"&amp;MONTH('LT records'!$B12)</f>
        <v>2012-12</v>
      </c>
      <c r="N12" s="343" t="n">
        <f aca="false">'LT records'!$H12+'LT records'!$I12</f>
        <v>8.01</v>
      </c>
      <c r="O12" s="335"/>
      <c r="P12" s="335"/>
      <c r="Q12" s="336"/>
      <c r="R12" s="337"/>
      <c r="T12" s="327"/>
    </row>
    <row r="13" customFormat="false" ht="12.8" hidden="false" customHeight="false" outlineLevel="0" collapsed="false">
      <c r="B13" s="338" t="n">
        <v>41262</v>
      </c>
      <c r="C13" s="345" t="n">
        <f aca="false">YEAR('LT records'!$B13)</f>
        <v>2012</v>
      </c>
      <c r="D13" s="346" t="str">
        <f aca="false">'LT records'!$C13&amp;"-"&amp;MONTH('LT records'!$B13)</f>
        <v>2012-12</v>
      </c>
      <c r="E13" s="324" t="s">
        <v>337</v>
      </c>
      <c r="F13" s="324" t="str">
        <f aca="false">LEFT('LT records'!$E13,3)</f>
        <v>MyF</v>
      </c>
      <c r="G13" s="324" t="str">
        <f aca="false">IF(OR('LT records'!$F13="MyF", 'LT records'!$F13="DEP"),"DEP",IF('LT records'!$F13="CSH","CSH",IF('LT records'!$F13="BON","BND",IF('LT records'!$F13="Sma","MKT",IF(OR('LT records'!$F13="Val", 'LT records'!$F13="EUR"),"FCY",IF('LT records'!$F13="X-P","PP3",IF('LT records'!$F13="X-m","XAU","???")))))))</f>
        <v>DEP</v>
      </c>
      <c r="H13" s="325" t="n">
        <v>-2029.74</v>
      </c>
      <c r="I13" s="340"/>
      <c r="J13" s="325"/>
      <c r="K13" s="340"/>
      <c r="L13" s="341" t="s">
        <v>348</v>
      </c>
      <c r="M13" s="342" t="str">
        <f aca="false">YEAR('LT records'!$B13)&amp;"-"&amp;MONTH('LT records'!$B13)</f>
        <v>2012-12</v>
      </c>
      <c r="N13" s="343" t="n">
        <f aca="false">'LT records'!$H13+'LT records'!$I13</f>
        <v>-2029.74</v>
      </c>
      <c r="O13" s="335"/>
      <c r="P13" s="335"/>
      <c r="Q13" s="336"/>
      <c r="R13" s="337"/>
      <c r="T13" s="327"/>
    </row>
    <row r="14" customFormat="false" ht="12.8" hidden="false" customHeight="false" outlineLevel="0" collapsed="false">
      <c r="B14" s="338" t="n">
        <v>41262</v>
      </c>
      <c r="C14" s="345" t="n">
        <f aca="false">YEAR('LT records'!$B14)</f>
        <v>2012</v>
      </c>
      <c r="D14" s="346" t="str">
        <f aca="false">'LT records'!$C14&amp;"-"&amp;MONTH('LT records'!$B14)</f>
        <v>2012-12</v>
      </c>
      <c r="E14" s="324" t="s">
        <v>337</v>
      </c>
      <c r="F14" s="324" t="str">
        <f aca="false">LEFT('LT records'!$E14,3)</f>
        <v>MyF</v>
      </c>
      <c r="G14" s="324" t="str">
        <f aca="false">IF(OR('LT records'!$F14="MyF", 'LT records'!$F14="DEP"),"DEP",IF('LT records'!$F14="CSH","CSH",IF('LT records'!$F14="BON","BND",IF('LT records'!$F14="Sma","MKT",IF(OR('LT records'!$F14="Val", 'LT records'!$F14="EUR"),"FCY",IF('LT records'!$F14="X-P","PP3",IF('LT records'!$F14="X-m","XAU","???")))))))</f>
        <v>DEP</v>
      </c>
      <c r="H14" s="325" t="n">
        <v>3029.74</v>
      </c>
      <c r="I14" s="340"/>
      <c r="J14" s="325"/>
      <c r="K14" s="340"/>
      <c r="L14" s="341" t="s">
        <v>349</v>
      </c>
      <c r="M14" s="342" t="str">
        <f aca="false">YEAR('LT records'!$B14)&amp;"-"&amp;MONTH('LT records'!$B14)</f>
        <v>2012-12</v>
      </c>
      <c r="N14" s="343" t="n">
        <f aca="false">'LT records'!$H14+'LT records'!$I14</f>
        <v>3029.74</v>
      </c>
      <c r="O14" s="335"/>
      <c r="P14" s="335"/>
      <c r="Q14" s="336"/>
      <c r="R14" s="337"/>
      <c r="T14" s="327"/>
    </row>
    <row r="15" customFormat="false" ht="12.8" hidden="false" customHeight="false" outlineLevel="0" collapsed="false">
      <c r="B15" s="338" t="n">
        <v>41291</v>
      </c>
      <c r="C15" s="345" t="n">
        <f aca="false">YEAR('LT records'!$B15)</f>
        <v>2013</v>
      </c>
      <c r="D15" s="346" t="str">
        <f aca="false">'LT records'!$C15&amp;"-"&amp;MONTH('LT records'!$B15)</f>
        <v>2013-1</v>
      </c>
      <c r="E15" s="324" t="s">
        <v>340</v>
      </c>
      <c r="F15" s="324" t="str">
        <f aca="false">LEFT('LT records'!$E15,3)</f>
        <v>MyF</v>
      </c>
      <c r="G15" s="324" t="str">
        <f aca="false">IF(OR('LT records'!$F15="MyF", 'LT records'!$F15="DEP"),"DEP",IF('LT records'!$F15="CSH","CSH",IF('LT records'!$F15="BON","BND",IF('LT records'!$F15="Sma","MKT",IF(OR('LT records'!$F15="Val", 'LT records'!$F15="EUR"),"FCY",IF('LT records'!$F15="X-P","PP3",IF('LT records'!$F15="X-m","XAU","???")))))))</f>
        <v>DEP</v>
      </c>
      <c r="H15" s="325" t="n">
        <v>1000</v>
      </c>
      <c r="I15" s="340"/>
      <c r="J15" s="325"/>
      <c r="K15" s="340"/>
      <c r="L15" s="341" t="s">
        <v>341</v>
      </c>
      <c r="M15" s="342" t="str">
        <f aca="false">YEAR('LT records'!$B15)&amp;"-"&amp;MONTH('LT records'!$B15)</f>
        <v>2013-1</v>
      </c>
      <c r="N15" s="343" t="n">
        <f aca="false">'LT records'!$H15+'LT records'!$I15</f>
        <v>1000</v>
      </c>
      <c r="O15" s="335"/>
      <c r="P15" s="335"/>
      <c r="Q15" s="336"/>
      <c r="R15" s="337"/>
      <c r="T15" s="327"/>
    </row>
    <row r="16" customFormat="false" ht="12.8" hidden="false" customHeight="false" outlineLevel="0" collapsed="false">
      <c r="B16" s="338" t="n">
        <v>41308</v>
      </c>
      <c r="C16" s="345" t="n">
        <f aca="false">YEAR('LT records'!$B16)</f>
        <v>2013</v>
      </c>
      <c r="D16" s="346" t="str">
        <f aca="false">'LT records'!$C16&amp;"-"&amp;MONTH('LT records'!$B16)</f>
        <v>2013-2</v>
      </c>
      <c r="E16" s="324" t="s">
        <v>350</v>
      </c>
      <c r="F16" s="324" t="str">
        <f aca="false">LEFT('LT records'!$E16,3)</f>
        <v>MyF</v>
      </c>
      <c r="G16" s="324" t="str">
        <f aca="false">IF(OR('LT records'!$F16="MyF", 'LT records'!$F16="DEP"),"DEP",IF('LT records'!$F16="CSH","CSH",IF('LT records'!$F16="BON","BND",IF('LT records'!$F16="Sma","MKT",IF(OR('LT records'!$F16="Val", 'LT records'!$F16="EUR"),"FCY",IF('LT records'!$F16="X-P","PP3",IF('LT records'!$F16="X-m","XAU","???")))))))</f>
        <v>DEP</v>
      </c>
      <c r="H16" s="325" t="n">
        <v>2000</v>
      </c>
      <c r="I16" s="340"/>
      <c r="J16" s="325"/>
      <c r="K16" s="340"/>
      <c r="L16" s="341" t="s">
        <v>349</v>
      </c>
      <c r="M16" s="342" t="str">
        <f aca="false">YEAR('LT records'!$B16)&amp;"-"&amp;MONTH('LT records'!$B16)</f>
        <v>2013-2</v>
      </c>
      <c r="N16" s="343" t="n">
        <f aca="false">'LT records'!$H16+'LT records'!$I16</f>
        <v>2000</v>
      </c>
      <c r="O16" s="335"/>
      <c r="P16" s="335"/>
      <c r="Q16" s="336"/>
      <c r="R16" s="337"/>
      <c r="T16" s="327"/>
    </row>
    <row r="17" customFormat="false" ht="12.8" hidden="false" customHeight="false" outlineLevel="0" collapsed="false">
      <c r="B17" s="338" t="n">
        <v>41323</v>
      </c>
      <c r="C17" s="345" t="n">
        <f aca="false">YEAR('LT records'!$B17)</f>
        <v>2013</v>
      </c>
      <c r="D17" s="346" t="str">
        <f aca="false">'LT records'!$C17&amp;"-"&amp;MONTH('LT records'!$B17)</f>
        <v>2013-2</v>
      </c>
      <c r="E17" s="324" t="s">
        <v>340</v>
      </c>
      <c r="F17" s="324" t="str">
        <f aca="false">LEFT('LT records'!$E17,3)</f>
        <v>MyF</v>
      </c>
      <c r="G17" s="324" t="str">
        <f aca="false">IF(OR('LT records'!$F17="MyF", 'LT records'!$F17="DEP"),"DEP",IF('LT records'!$F17="CSH","CSH",IF('LT records'!$F17="BON","BND",IF('LT records'!$F17="Sma","MKT",IF(OR('LT records'!$F17="Val", 'LT records'!$F17="EUR"),"FCY",IF('LT records'!$F17="X-P","PP3",IF('LT records'!$F17="X-m","XAU","???")))))))</f>
        <v>DEP</v>
      </c>
      <c r="H17" s="325" t="n">
        <v>0</v>
      </c>
      <c r="I17" s="340" t="n">
        <v>4.23</v>
      </c>
      <c r="J17" s="325"/>
      <c r="K17" s="340"/>
      <c r="L17" s="341" t="s">
        <v>346</v>
      </c>
      <c r="M17" s="342" t="str">
        <f aca="false">YEAR('LT records'!$B17)&amp;"-"&amp;MONTH('LT records'!$B17)</f>
        <v>2013-2</v>
      </c>
      <c r="N17" s="343" t="n">
        <f aca="false">'LT records'!$H17+'LT records'!$I17</f>
        <v>4.23</v>
      </c>
      <c r="O17" s="335"/>
      <c r="P17" s="335"/>
      <c r="Q17" s="336"/>
      <c r="R17" s="337"/>
      <c r="T17" s="327"/>
    </row>
    <row r="18" customFormat="false" ht="12.8" hidden="false" customHeight="false" outlineLevel="0" collapsed="false">
      <c r="B18" s="338" t="n">
        <v>41323</v>
      </c>
      <c r="C18" s="345" t="n">
        <f aca="false">YEAR('LT records'!$B18)</f>
        <v>2013</v>
      </c>
      <c r="D18" s="346" t="str">
        <f aca="false">'LT records'!$C18&amp;"-"&amp;MONTH('LT records'!$B18)</f>
        <v>2013-2</v>
      </c>
      <c r="E18" s="324" t="s">
        <v>340</v>
      </c>
      <c r="F18" s="324" t="str">
        <f aca="false">LEFT('LT records'!$E18,3)</f>
        <v>MyF</v>
      </c>
      <c r="G18" s="324" t="str">
        <f aca="false">IF(OR('LT records'!$F18="MyF", 'LT records'!$F18="DEP"),"DEP",IF('LT records'!$F18="CSH","CSH",IF('LT records'!$F18="BON","BND",IF('LT records'!$F18="Sma","MKT",IF(OR('LT records'!$F18="Val", 'LT records'!$F18="EUR"),"FCY",IF('LT records'!$F18="X-P","PP3",IF('LT records'!$F18="X-m","XAU","???")))))))</f>
        <v>DEP</v>
      </c>
      <c r="H18" s="325" t="n">
        <v>4000</v>
      </c>
      <c r="I18" s="340"/>
      <c r="J18" s="325"/>
      <c r="K18" s="340"/>
      <c r="L18" s="341" t="s">
        <v>351</v>
      </c>
      <c r="M18" s="342" t="str">
        <f aca="false">YEAR('LT records'!$B18)&amp;"-"&amp;MONTH('LT records'!$B18)</f>
        <v>2013-2</v>
      </c>
      <c r="N18" s="343" t="n">
        <f aca="false">'LT records'!$H18+'LT records'!$I18</f>
        <v>4000</v>
      </c>
      <c r="O18" s="335"/>
      <c r="P18" s="335"/>
      <c r="Q18" s="336"/>
      <c r="R18" s="337"/>
      <c r="T18" s="327"/>
    </row>
    <row r="19" customFormat="false" ht="12.8" hidden="false" customHeight="false" outlineLevel="0" collapsed="false">
      <c r="B19" s="338" t="n">
        <v>41337</v>
      </c>
      <c r="C19" s="345" t="n">
        <f aca="false">YEAR('LT records'!$B19)</f>
        <v>2013</v>
      </c>
      <c r="D19" s="346" t="str">
        <f aca="false">'LT records'!$C19&amp;"-"&amp;MONTH('LT records'!$B19)</f>
        <v>2013-3</v>
      </c>
      <c r="E19" s="324" t="s">
        <v>344</v>
      </c>
      <c r="F19" s="324" t="str">
        <f aca="false">LEFT('LT records'!$E19,3)</f>
        <v>MyF</v>
      </c>
      <c r="G19" s="324" t="str">
        <f aca="false">IF(OR('LT records'!$F19="MyF", 'LT records'!$F19="DEP"),"DEP",IF('LT records'!$F19="CSH","CSH",IF('LT records'!$F19="BON","BND",IF('LT records'!$F19="Sma","MKT",IF(OR('LT records'!$F19="Val", 'LT records'!$F19="EUR"),"FCY",IF('LT records'!$F19="X-P","PP3",IF('LT records'!$F19="X-m","XAU","???")))))))</f>
        <v>DEP</v>
      </c>
      <c r="H19" s="325" t="n">
        <v>0</v>
      </c>
      <c r="I19" s="340" t="n">
        <f aca="false">45.65-7.3</f>
        <v>38.35</v>
      </c>
      <c r="J19" s="325"/>
      <c r="K19" s="340"/>
      <c r="L19" s="341" t="s">
        <v>342</v>
      </c>
      <c r="M19" s="342" t="str">
        <f aca="false">YEAR('LT records'!$B19)&amp;"-"&amp;MONTH('LT records'!$B19)</f>
        <v>2013-3</v>
      </c>
      <c r="N19" s="343" t="n">
        <f aca="false">'LT records'!$H19+'LT records'!$I19</f>
        <v>38.35</v>
      </c>
      <c r="O19" s="335"/>
      <c r="P19" s="335"/>
      <c r="Q19" s="336"/>
      <c r="R19" s="337"/>
      <c r="T19" s="327"/>
    </row>
    <row r="20" customFormat="false" ht="12.8" hidden="false" customHeight="false" outlineLevel="0" collapsed="false">
      <c r="B20" s="338" t="n">
        <v>41337</v>
      </c>
      <c r="C20" s="345" t="n">
        <f aca="false">YEAR('LT records'!$B20)</f>
        <v>2013</v>
      </c>
      <c r="D20" s="346" t="str">
        <f aca="false">'LT records'!$C20&amp;"-"&amp;MONTH('LT records'!$B20)</f>
        <v>2013-3</v>
      </c>
      <c r="E20" s="324" t="s">
        <v>350</v>
      </c>
      <c r="F20" s="324" t="str">
        <f aca="false">LEFT('LT records'!$E20,3)</f>
        <v>MyF</v>
      </c>
      <c r="G20" s="324" t="str">
        <f aca="false">IF(OR('LT records'!$F20="MyF", 'LT records'!$F20="DEP"),"DEP",IF('LT records'!$F20="CSH","CSH",IF('LT records'!$F20="BON","BND",IF('LT records'!$F20="Sma","MKT",IF(OR('LT records'!$F20="Val", 'LT records'!$F20="EUR"),"FCY",IF('LT records'!$F20="X-P","PP3",IF('LT records'!$F20="X-m","XAU","???")))))))</f>
        <v>DEP</v>
      </c>
      <c r="H20" s="325" t="n">
        <v>0</v>
      </c>
      <c r="I20" s="340" t="n">
        <f aca="false">8.82-1.41</f>
        <v>7.41</v>
      </c>
      <c r="J20" s="325"/>
      <c r="K20" s="340"/>
      <c r="L20" s="341" t="s">
        <v>342</v>
      </c>
      <c r="M20" s="342" t="str">
        <f aca="false">YEAR('LT records'!$B20)&amp;"-"&amp;MONTH('LT records'!$B20)</f>
        <v>2013-3</v>
      </c>
      <c r="N20" s="343" t="n">
        <f aca="false">'LT records'!$H20+'LT records'!$I20</f>
        <v>7.41</v>
      </c>
      <c r="O20" s="335"/>
      <c r="P20" s="335"/>
      <c r="Q20" s="336"/>
      <c r="R20" s="337"/>
      <c r="T20" s="327"/>
    </row>
    <row r="21" customFormat="false" ht="12.8" hidden="false" customHeight="false" outlineLevel="0" collapsed="false">
      <c r="B21" s="338" t="n">
        <v>41337</v>
      </c>
      <c r="C21" s="345" t="n">
        <f aca="false">YEAR('LT records'!$B21)</f>
        <v>2013</v>
      </c>
      <c r="D21" s="346" t="str">
        <f aca="false">'LT records'!$C21&amp;"-"&amp;MONTH('LT records'!$B21)</f>
        <v>2013-3</v>
      </c>
      <c r="E21" s="324" t="s">
        <v>350</v>
      </c>
      <c r="F21" s="324" t="str">
        <f aca="false">LEFT('LT records'!$E21,3)</f>
        <v>MyF</v>
      </c>
      <c r="G21" s="324" t="str">
        <f aca="false">IF(OR('LT records'!$F21="MyF", 'LT records'!$F21="DEP"),"DEP",IF('LT records'!$F21="CSH","CSH",IF('LT records'!$F21="BON","BND",IF('LT records'!$F21="Sma","MKT",IF(OR('LT records'!$F21="Val", 'LT records'!$F21="EUR"),"FCY",IF('LT records'!$F21="X-P","PP3",IF('LT records'!$F21="X-m","XAU","???")))))))</f>
        <v>DEP</v>
      </c>
      <c r="H21" s="325" t="n">
        <v>-2007.41</v>
      </c>
      <c r="I21" s="340"/>
      <c r="J21" s="325"/>
      <c r="K21" s="340"/>
      <c r="L21" s="341" t="s">
        <v>352</v>
      </c>
      <c r="M21" s="342" t="str">
        <f aca="false">YEAR('LT records'!$B21)&amp;"-"&amp;MONTH('LT records'!$B21)</f>
        <v>2013-3</v>
      </c>
      <c r="N21" s="343" t="n">
        <f aca="false">'LT records'!$H21+'LT records'!$I21</f>
        <v>-2007.41</v>
      </c>
      <c r="O21" s="347"/>
      <c r="P21" s="347"/>
      <c r="Q21" s="336"/>
      <c r="R21" s="337"/>
      <c r="T21" s="327"/>
    </row>
    <row r="22" customFormat="false" ht="12.8" hidden="false" customHeight="false" outlineLevel="0" collapsed="false">
      <c r="B22" s="338" t="n">
        <v>41337</v>
      </c>
      <c r="C22" s="345" t="n">
        <f aca="false">YEAR('LT records'!$B22)</f>
        <v>2013</v>
      </c>
      <c r="D22" s="346" t="str">
        <f aca="false">'LT records'!$C22&amp;"-"&amp;MONTH('LT records'!$B22)</f>
        <v>2013-3</v>
      </c>
      <c r="E22" s="324" t="s">
        <v>344</v>
      </c>
      <c r="F22" s="324" t="str">
        <f aca="false">LEFT('LT records'!$E22,3)</f>
        <v>MyF</v>
      </c>
      <c r="G22" s="324" t="str">
        <f aca="false">IF(OR('LT records'!$F22="MyF", 'LT records'!$F22="DEP"),"DEP",IF('LT records'!$F22="CSH","CSH",IF('LT records'!$F22="BON","BND",IF('LT records'!$F22="Sma","MKT",IF(OR('LT records'!$F22="Val", 'LT records'!$F22="EUR"),"FCY",IF('LT records'!$F22="X-P","PP3",IF('LT records'!$F22="X-m","XAU","???")))))))</f>
        <v>DEP</v>
      </c>
      <c r="H22" s="325" t="n">
        <v>2000</v>
      </c>
      <c r="I22" s="340" t="n">
        <v>7.42</v>
      </c>
      <c r="J22" s="325"/>
      <c r="K22" s="340"/>
      <c r="L22" s="341" t="s">
        <v>352</v>
      </c>
      <c r="M22" s="342" t="str">
        <f aca="false">YEAR('LT records'!$B22)&amp;"-"&amp;MONTH('LT records'!$B22)</f>
        <v>2013-3</v>
      </c>
      <c r="N22" s="343" t="n">
        <f aca="false">'LT records'!$H22+'LT records'!$I22</f>
        <v>2007.42</v>
      </c>
      <c r="O22" s="347"/>
      <c r="P22" s="347"/>
      <c r="Q22" s="336"/>
      <c r="R22" s="337"/>
      <c r="T22" s="327"/>
    </row>
    <row r="23" customFormat="false" ht="12.8" hidden="false" customHeight="false" outlineLevel="0" collapsed="false">
      <c r="B23" s="338" t="n">
        <v>41351</v>
      </c>
      <c r="C23" s="345" t="n">
        <f aca="false">YEAR('LT records'!$B23)</f>
        <v>2013</v>
      </c>
      <c r="D23" s="346" t="str">
        <f aca="false">'LT records'!$C23&amp;"-"&amp;MONTH('LT records'!$B23)</f>
        <v>2013-3</v>
      </c>
      <c r="E23" s="324" t="s">
        <v>340</v>
      </c>
      <c r="F23" s="324" t="str">
        <f aca="false">LEFT('LT records'!$E23,3)</f>
        <v>MyF</v>
      </c>
      <c r="G23" s="324" t="str">
        <f aca="false">IF(OR('LT records'!$F23="MyF", 'LT records'!$F23="DEP"),"DEP",IF('LT records'!$F23="CSH","CSH",IF('LT records'!$F23="BON","BND",IF('LT records'!$F23="Sma","MKT",IF(OR('LT records'!$F23="Val", 'LT records'!$F23="EUR"),"FCY",IF('LT records'!$F23="X-P","PP3",IF('LT records'!$F23="X-m","XAU","???")))))))</f>
        <v>DEP</v>
      </c>
      <c r="H23" s="325" t="n">
        <v>0</v>
      </c>
      <c r="I23" s="340" t="n">
        <v>18.54</v>
      </c>
      <c r="J23" s="325"/>
      <c r="K23" s="340"/>
      <c r="L23" s="341" t="s">
        <v>342</v>
      </c>
      <c r="M23" s="342" t="str">
        <f aca="false">YEAR('LT records'!$B23)&amp;"-"&amp;MONTH('LT records'!$B23)</f>
        <v>2013-3</v>
      </c>
      <c r="N23" s="343" t="n">
        <f aca="false">'LT records'!$H23+'LT records'!$I23</f>
        <v>18.54</v>
      </c>
      <c r="O23" s="347"/>
      <c r="P23" s="347"/>
      <c r="Q23" s="336"/>
      <c r="R23" s="337"/>
      <c r="T23" s="327"/>
    </row>
    <row r="24" customFormat="false" ht="12.8" hidden="false" customHeight="false" outlineLevel="0" collapsed="false">
      <c r="B24" s="338" t="n">
        <v>41352</v>
      </c>
      <c r="C24" s="345" t="n">
        <f aca="false">YEAR('LT records'!$B24)</f>
        <v>2013</v>
      </c>
      <c r="D24" s="346" t="str">
        <f aca="false">'LT records'!$C24&amp;"-"&amp;MONTH('LT records'!$B24)</f>
        <v>2013-3</v>
      </c>
      <c r="E24" s="324" t="s">
        <v>337</v>
      </c>
      <c r="F24" s="324" t="str">
        <f aca="false">LEFT('LT records'!$E24,3)</f>
        <v>MyF</v>
      </c>
      <c r="G24" s="324" t="str">
        <f aca="false">IF(OR('LT records'!$F24="MyF", 'LT records'!$F24="DEP"),"DEP",IF('LT records'!$F24="CSH","CSH",IF('LT records'!$F24="BON","BND",IF('LT records'!$F24="Sma","MKT",IF(OR('LT records'!$F24="Val", 'LT records'!$F24="EUR"),"FCY",IF('LT records'!$F24="X-P","PP3",IF('LT records'!$F24="X-m","XAU","???")))))))</f>
        <v>DEP</v>
      </c>
      <c r="H24" s="325" t="n">
        <v>0</v>
      </c>
      <c r="I24" s="340" t="n">
        <v>38.26</v>
      </c>
      <c r="J24" s="325"/>
      <c r="K24" s="340"/>
      <c r="L24" s="341" t="s">
        <v>342</v>
      </c>
      <c r="M24" s="342" t="str">
        <f aca="false">YEAR('LT records'!$B24)&amp;"-"&amp;MONTH('LT records'!$B24)</f>
        <v>2013-3</v>
      </c>
      <c r="N24" s="343" t="n">
        <f aca="false">'LT records'!$H24+'LT records'!$I24</f>
        <v>38.26</v>
      </c>
      <c r="O24" s="347"/>
      <c r="P24" s="347"/>
      <c r="Q24" s="336"/>
      <c r="R24" s="337"/>
      <c r="T24" s="327"/>
    </row>
    <row r="25" customFormat="false" ht="12.8" hidden="false" customHeight="false" outlineLevel="0" collapsed="false">
      <c r="B25" s="338" t="n">
        <v>41352</v>
      </c>
      <c r="C25" s="345" t="n">
        <f aca="false">YEAR('LT records'!$B25)</f>
        <v>2013</v>
      </c>
      <c r="D25" s="346" t="str">
        <f aca="false">'LT records'!$C25&amp;"-"&amp;MONTH('LT records'!$B25)</f>
        <v>2013-3</v>
      </c>
      <c r="E25" s="324" t="s">
        <v>337</v>
      </c>
      <c r="F25" s="324" t="str">
        <f aca="false">LEFT('LT records'!$E25,3)</f>
        <v>MyF</v>
      </c>
      <c r="G25" s="324" t="str">
        <f aca="false">IF(OR('LT records'!$F25="MyF", 'LT records'!$F25="DEP"),"DEP",IF('LT records'!$F25="CSH","CSH",IF('LT records'!$F25="BON","BND",IF('LT records'!$F25="Sma","MKT",IF(OR('LT records'!$F25="Val", 'LT records'!$F25="EUR"),"FCY",IF('LT records'!$F25="X-P","PP3",IF('LT records'!$F25="X-m","XAU","???")))))))</f>
        <v>DEP</v>
      </c>
      <c r="H25" s="325" t="n">
        <v>2000</v>
      </c>
      <c r="I25" s="340"/>
      <c r="J25" s="325"/>
      <c r="K25" s="340"/>
      <c r="L25" s="341" t="s">
        <v>351</v>
      </c>
      <c r="M25" s="342" t="str">
        <f aca="false">YEAR('LT records'!$B25)&amp;"-"&amp;MONTH('LT records'!$B25)</f>
        <v>2013-3</v>
      </c>
      <c r="N25" s="343" t="n">
        <f aca="false">'LT records'!$H25+'LT records'!$I25</f>
        <v>2000</v>
      </c>
      <c r="O25" s="347"/>
      <c r="P25" s="347"/>
      <c r="Q25" s="336"/>
      <c r="R25" s="337"/>
      <c r="T25" s="327"/>
    </row>
    <row r="26" customFormat="false" ht="12.8" hidden="false" customHeight="false" outlineLevel="0" collapsed="false">
      <c r="B26" s="270" t="n">
        <v>41368</v>
      </c>
      <c r="C26" s="348" t="n">
        <f aca="false">YEAR('LT records'!$B26)</f>
        <v>2013</v>
      </c>
      <c r="D26" s="346" t="str">
        <f aca="false">'LT records'!$C26&amp;"-"&amp;MONTH('LT records'!$B26)</f>
        <v>2013-4</v>
      </c>
      <c r="E26" s="324" t="s">
        <v>344</v>
      </c>
      <c r="F26" s="324" t="str">
        <f aca="false">LEFT('LT records'!$E26,3)</f>
        <v>MyF</v>
      </c>
      <c r="G26" s="324" t="str">
        <f aca="false">IF(OR('LT records'!$F26="MyF", 'LT records'!$F26="DEP"),"DEP",IF('LT records'!$F26="CSH","CSH",IF('LT records'!$F26="BON","BND",IF('LT records'!$F26="Sma","MKT",IF(OR('LT records'!$F26="Val", 'LT records'!$F26="EUR"),"FCY",IF('LT records'!$F26="X-P","PP3",IF('LT records'!$F26="X-m","XAU","???")))))))</f>
        <v>DEP</v>
      </c>
      <c r="H26" s="325" t="n">
        <v>0</v>
      </c>
      <c r="I26" s="340" t="n">
        <v>20.71</v>
      </c>
      <c r="J26" s="325"/>
      <c r="K26" s="340"/>
      <c r="L26" s="341" t="s">
        <v>342</v>
      </c>
      <c r="M26" s="342" t="str">
        <f aca="false">YEAR('LT records'!$B26)&amp;"-"&amp;MONTH('LT records'!$B26)</f>
        <v>2013-4</v>
      </c>
      <c r="N26" s="343" t="n">
        <f aca="false">'LT records'!$H26+'LT records'!$I26</f>
        <v>20.71</v>
      </c>
      <c r="O26" s="347"/>
      <c r="P26" s="347"/>
      <c r="Q26" s="336"/>
      <c r="R26" s="337"/>
      <c r="T26" s="327"/>
    </row>
    <row r="27" customFormat="false" ht="12.8" hidden="false" customHeight="false" outlineLevel="0" collapsed="false">
      <c r="B27" s="270" t="n">
        <v>41368</v>
      </c>
      <c r="C27" s="348" t="n">
        <f aca="false">YEAR('LT records'!$B27)</f>
        <v>2013</v>
      </c>
      <c r="D27" s="346" t="str">
        <f aca="false">'LT records'!$C27&amp;"-"&amp;MONTH('LT records'!$B27)</f>
        <v>2013-4</v>
      </c>
      <c r="E27" s="324" t="s">
        <v>350</v>
      </c>
      <c r="F27" s="324" t="str">
        <f aca="false">LEFT('LT records'!$E27,3)</f>
        <v>MyF</v>
      </c>
      <c r="G27" s="324" t="str">
        <f aca="false">IF(OR('LT records'!$F27="MyF", 'LT records'!$F27="DEP"),"DEP",IF('LT records'!$F27="CSH","CSH",IF('LT records'!$F27="BON","BND",IF('LT records'!$F27="Sma","MKT",IF(OR('LT records'!$F27="Val", 'LT records'!$F27="EUR"),"FCY",IF('LT records'!$F27="X-P","PP3",IF('LT records'!$F27="X-m","XAU","???")))))))</f>
        <v>DEP</v>
      </c>
      <c r="H27" s="325" t="n">
        <v>1000</v>
      </c>
      <c r="I27" s="340"/>
      <c r="J27" s="325"/>
      <c r="K27" s="340"/>
      <c r="L27" s="341" t="s">
        <v>349</v>
      </c>
      <c r="M27" s="342" t="str">
        <f aca="false">YEAR('LT records'!$B27)&amp;"-"&amp;MONTH('LT records'!$B27)</f>
        <v>2013-4</v>
      </c>
      <c r="N27" s="343" t="n">
        <f aca="false">'LT records'!$H27+'LT records'!$I27</f>
        <v>1000</v>
      </c>
      <c r="O27" s="347"/>
      <c r="P27" s="347"/>
      <c r="Q27" s="336"/>
      <c r="R27" s="337"/>
      <c r="T27" s="327"/>
    </row>
    <row r="28" customFormat="false" ht="12.8" hidden="false" customHeight="false" outlineLevel="0" collapsed="false">
      <c r="B28" s="270" t="n">
        <v>41382</v>
      </c>
      <c r="C28" s="348" t="n">
        <f aca="false">YEAR('LT records'!$B28)</f>
        <v>2013</v>
      </c>
      <c r="D28" s="346" t="str">
        <f aca="false">'LT records'!$C28&amp;"-"&amp;MONTH('LT records'!$B28)</f>
        <v>2013-4</v>
      </c>
      <c r="E28" s="324" t="s">
        <v>340</v>
      </c>
      <c r="F28" s="324" t="str">
        <f aca="false">LEFT('LT records'!$E28,3)</f>
        <v>MyF</v>
      </c>
      <c r="G28" s="324" t="str">
        <f aca="false">IF(OR('LT records'!$F28="MyF", 'LT records'!$F28="DEP"),"DEP",IF('LT records'!$F28="CSH","CSH",IF('LT records'!$F28="BON","BND",IF('LT records'!$F28="Sma","MKT",IF(OR('LT records'!$F28="Val", 'LT records'!$F28="EUR"),"FCY",IF('LT records'!$F28="X-P","PP3",IF('LT records'!$F28="X-m","XAU","???")))))))</f>
        <v>DEP</v>
      </c>
      <c r="H28" s="325" t="n">
        <v>0</v>
      </c>
      <c r="I28" s="340" t="n">
        <v>20.61</v>
      </c>
      <c r="J28" s="325"/>
      <c r="K28" s="340"/>
      <c r="L28" s="341" t="s">
        <v>342</v>
      </c>
      <c r="M28" s="342" t="str">
        <f aca="false">YEAR('LT records'!$B28)&amp;"-"&amp;MONTH('LT records'!$B28)</f>
        <v>2013-4</v>
      </c>
      <c r="N28" s="343" t="n">
        <f aca="false">'LT records'!$H28+'LT records'!$I28</f>
        <v>20.61</v>
      </c>
      <c r="O28" s="347"/>
      <c r="P28" s="347"/>
      <c r="Q28" s="336"/>
      <c r="R28" s="337"/>
      <c r="T28" s="327"/>
    </row>
    <row r="29" customFormat="false" ht="12.8" hidden="false" customHeight="false" outlineLevel="0" collapsed="false">
      <c r="B29" s="270" t="n">
        <v>41383</v>
      </c>
      <c r="C29" s="348" t="n">
        <f aca="false">YEAR('LT records'!$B29)</f>
        <v>2013</v>
      </c>
      <c r="D29" s="346" t="str">
        <f aca="false">'LT records'!$C29&amp;"-"&amp;MONTH('LT records'!$B29)</f>
        <v>2013-4</v>
      </c>
      <c r="E29" s="324" t="s">
        <v>337</v>
      </c>
      <c r="F29" s="324" t="str">
        <f aca="false">LEFT('LT records'!$E29,3)</f>
        <v>MyF</v>
      </c>
      <c r="G29" s="324" t="str">
        <f aca="false">IF(OR('LT records'!$F29="MyF", 'LT records'!$F29="DEP"),"DEP",IF('LT records'!$F29="CSH","CSH",IF('LT records'!$F29="BON","BND",IF('LT records'!$F29="Sma","MKT",IF(OR('LT records'!$F29="Val", 'LT records'!$F29="EUR"),"FCY",IF('LT records'!$F29="X-P","PP3",IF('LT records'!$F29="X-m","XAU","???")))))))</f>
        <v>DEP</v>
      </c>
      <c r="H29" s="325" t="n">
        <v>0</v>
      </c>
      <c r="I29" s="340" t="n">
        <v>20.79</v>
      </c>
      <c r="J29" s="325"/>
      <c r="K29" s="340"/>
      <c r="L29" s="341" t="s">
        <v>342</v>
      </c>
      <c r="M29" s="342" t="str">
        <f aca="false">YEAR('LT records'!$B29)&amp;"-"&amp;MONTH('LT records'!$B29)</f>
        <v>2013-4</v>
      </c>
      <c r="N29" s="343" t="n">
        <f aca="false">'LT records'!$H29+'LT records'!$I29</f>
        <v>20.79</v>
      </c>
      <c r="O29" s="347"/>
      <c r="P29" s="347"/>
      <c r="Q29" s="336"/>
      <c r="R29" s="337"/>
      <c r="T29" s="327"/>
    </row>
    <row r="30" customFormat="false" ht="12.8" hidden="false" customHeight="false" outlineLevel="0" collapsed="false">
      <c r="B30" s="270" t="n">
        <v>41398</v>
      </c>
      <c r="C30" s="348" t="n">
        <f aca="false">YEAR('LT records'!$B30)</f>
        <v>2013</v>
      </c>
      <c r="D30" s="346" t="str">
        <f aca="false">'LT records'!$C30&amp;"-"&amp;MONTH('LT records'!$B30)</f>
        <v>2013-5</v>
      </c>
      <c r="E30" s="324" t="s">
        <v>350</v>
      </c>
      <c r="F30" s="324" t="str">
        <f aca="false">LEFT('LT records'!$E30,3)</f>
        <v>MyF</v>
      </c>
      <c r="G30" s="324" t="str">
        <f aca="false">IF(OR('LT records'!$F30="MyF", 'LT records'!$F30="DEP"),"DEP",IF('LT records'!$F30="CSH","CSH",IF('LT records'!$F30="BON","BND",IF('LT records'!$F30="Sma","MKT",IF(OR('LT records'!$F30="Val", 'LT records'!$F30="EUR"),"FCY",IF('LT records'!$F30="X-P","PP3",IF('LT records'!$F30="X-m","XAU","???")))))))</f>
        <v>DEP</v>
      </c>
      <c r="H30" s="325" t="n">
        <v>0</v>
      </c>
      <c r="I30" s="340" t="n">
        <v>4.37</v>
      </c>
      <c r="J30" s="325"/>
      <c r="K30" s="340"/>
      <c r="L30" s="341" t="s">
        <v>342</v>
      </c>
      <c r="M30" s="342" t="str">
        <f aca="false">YEAR('LT records'!$B30)&amp;"-"&amp;MONTH('LT records'!$B30)</f>
        <v>2013-5</v>
      </c>
      <c r="N30" s="343" t="n">
        <f aca="false">'LT records'!$H30+'LT records'!$I30</f>
        <v>4.37</v>
      </c>
      <c r="O30" s="347"/>
      <c r="P30" s="347"/>
      <c r="Q30" s="336"/>
      <c r="R30" s="337"/>
      <c r="T30" s="327"/>
    </row>
    <row r="31" customFormat="false" ht="12.8" hidden="false" customHeight="false" outlineLevel="0" collapsed="false">
      <c r="B31" s="270" t="n">
        <v>41398</v>
      </c>
      <c r="C31" s="348" t="n">
        <f aca="false">YEAR('LT records'!$B31)</f>
        <v>2013</v>
      </c>
      <c r="D31" s="346" t="str">
        <f aca="false">'LT records'!$C31&amp;"-"&amp;MONTH('LT records'!$B31)</f>
        <v>2013-5</v>
      </c>
      <c r="E31" s="324" t="s">
        <v>344</v>
      </c>
      <c r="F31" s="324" t="str">
        <f aca="false">LEFT('LT records'!$E31,3)</f>
        <v>MyF</v>
      </c>
      <c r="G31" s="324" t="str">
        <f aca="false">IF(OR('LT records'!$F31="MyF", 'LT records'!$F31="DEP"),"DEP",IF('LT records'!$F31="CSH","CSH",IF('LT records'!$F31="BON","BND",IF('LT records'!$F31="Sma","MKT",IF(OR('LT records'!$F31="Val", 'LT records'!$F31="EUR"),"FCY",IF('LT records'!$F31="X-P","PP3",IF('LT records'!$F31="X-m","XAU","???")))))))</f>
        <v>DEP</v>
      </c>
      <c r="H31" s="325" t="n">
        <v>0</v>
      </c>
      <c r="I31" s="340" t="n">
        <f aca="false">26.36-4.22</f>
        <v>22.14</v>
      </c>
      <c r="J31" s="325"/>
      <c r="K31" s="340"/>
      <c r="L31" s="341" t="s">
        <v>342</v>
      </c>
      <c r="M31" s="342" t="str">
        <f aca="false">YEAR('LT records'!$B31)&amp;"-"&amp;MONTH('LT records'!$B31)</f>
        <v>2013-5</v>
      </c>
      <c r="N31" s="343" t="n">
        <f aca="false">'LT records'!$H31+'LT records'!$I31</f>
        <v>22.14</v>
      </c>
      <c r="O31" s="347"/>
      <c r="P31" s="347"/>
      <c r="Q31" s="336"/>
      <c r="R31" s="337"/>
      <c r="T31" s="327"/>
    </row>
    <row r="32" customFormat="false" ht="12.8" hidden="false" customHeight="false" outlineLevel="0" collapsed="false">
      <c r="B32" s="270" t="n">
        <v>41398</v>
      </c>
      <c r="C32" s="348" t="n">
        <f aca="false">YEAR('LT records'!$B32)</f>
        <v>2013</v>
      </c>
      <c r="D32" s="346" t="str">
        <f aca="false">'LT records'!$C32&amp;"-"&amp;MONTH('LT records'!$B32)</f>
        <v>2013-5</v>
      </c>
      <c r="E32" s="324" t="s">
        <v>350</v>
      </c>
      <c r="F32" s="324" t="str">
        <f aca="false">LEFT('LT records'!$E32,3)</f>
        <v>MyF</v>
      </c>
      <c r="G32" s="324" t="str">
        <f aca="false">IF(OR('LT records'!$F32="MyF", 'LT records'!$F32="DEP"),"DEP",IF('LT records'!$F32="CSH","CSH",IF('LT records'!$F32="BON","BND",IF('LT records'!$F32="Sma","MKT",IF(OR('LT records'!$F32="Val", 'LT records'!$F32="EUR"),"FCY",IF('LT records'!$F32="X-P","PP3",IF('LT records'!$F32="X-m","XAU","???")))))))</f>
        <v>DEP</v>
      </c>
      <c r="H32" s="325" t="n">
        <v>500</v>
      </c>
      <c r="I32" s="340"/>
      <c r="J32" s="325"/>
      <c r="K32" s="340"/>
      <c r="L32" s="341" t="s">
        <v>347</v>
      </c>
      <c r="M32" s="342" t="str">
        <f aca="false">YEAR('LT records'!$B32)&amp;"-"&amp;MONTH('LT records'!$B32)</f>
        <v>2013-5</v>
      </c>
      <c r="N32" s="343" t="n">
        <f aca="false">'LT records'!$H32+'LT records'!$I32</f>
        <v>500</v>
      </c>
      <c r="O32" s="347"/>
      <c r="P32" s="347"/>
      <c r="Q32" s="336"/>
      <c r="R32" s="337"/>
      <c r="T32" s="327"/>
    </row>
    <row r="33" customFormat="false" ht="12.8" hidden="false" customHeight="false" outlineLevel="0" collapsed="false">
      <c r="B33" s="270" t="n">
        <v>41404</v>
      </c>
      <c r="C33" s="348" t="n">
        <f aca="false">YEAR('LT records'!$B33)</f>
        <v>2013</v>
      </c>
      <c r="D33" s="346" t="str">
        <f aca="false">'LT records'!$C33&amp;"-"&amp;MONTH('LT records'!$B33)</f>
        <v>2013-5</v>
      </c>
      <c r="E33" s="324" t="s">
        <v>350</v>
      </c>
      <c r="F33" s="324" t="str">
        <f aca="false">LEFT('LT records'!$E33,3)</f>
        <v>MyF</v>
      </c>
      <c r="G33" s="324" t="str">
        <f aca="false">IF(OR('LT records'!$F33="MyF", 'LT records'!$F33="DEP"),"DEP",IF('LT records'!$F33="CSH","CSH",IF('LT records'!$F33="BON","BND",IF('LT records'!$F33="Sma","MKT",IF(OR('LT records'!$F33="Val", 'LT records'!$F33="EUR"),"FCY",IF('LT records'!$F33="X-P","PP3",IF('LT records'!$F33="X-m","XAU","???")))))))</f>
        <v>DEP</v>
      </c>
      <c r="H33" s="325" t="n">
        <v>-1504.37</v>
      </c>
      <c r="I33" s="340"/>
      <c r="J33" s="325"/>
      <c r="K33" s="340"/>
      <c r="L33" s="341" t="s">
        <v>353</v>
      </c>
      <c r="M33" s="342" t="str">
        <f aca="false">YEAR('LT records'!$B33)&amp;"-"&amp;MONTH('LT records'!$B33)</f>
        <v>2013-5</v>
      </c>
      <c r="N33" s="343" t="n">
        <f aca="false">'LT records'!$H33+'LT records'!$I33</f>
        <v>-1504.37</v>
      </c>
      <c r="O33" s="347"/>
      <c r="P33" s="347"/>
      <c r="Q33" s="336"/>
      <c r="R33" s="337"/>
      <c r="T33" s="327"/>
    </row>
    <row r="34" customFormat="false" ht="12.8" hidden="false" customHeight="false" outlineLevel="0" collapsed="false">
      <c r="B34" s="270" t="n">
        <v>41414</v>
      </c>
      <c r="C34" s="348" t="n">
        <f aca="false">YEAR('LT records'!$B34)</f>
        <v>2013</v>
      </c>
      <c r="D34" s="346" t="str">
        <f aca="false">'LT records'!$C34&amp;"-"&amp;MONTH('LT records'!$B34)</f>
        <v>2013-5</v>
      </c>
      <c r="E34" s="324" t="s">
        <v>337</v>
      </c>
      <c r="F34" s="324" t="str">
        <f aca="false">LEFT('LT records'!$E34,3)</f>
        <v>MyF</v>
      </c>
      <c r="G34" s="324" t="str">
        <f aca="false">IF(OR('LT records'!$F34="MyF", 'LT records'!$F34="DEP"),"DEP",IF('LT records'!$F34="CSH","CSH",IF('LT records'!$F34="BON","BND",IF('LT records'!$F34="Sma","MKT",IF(OR('LT records'!$F34="Val", 'LT records'!$F34="EUR"),"FCY",IF('LT records'!$F34="X-P","PP3",IF('LT records'!$F34="X-m","XAU","???")))))))</f>
        <v>DEP</v>
      </c>
      <c r="H34" s="325" t="n">
        <v>0</v>
      </c>
      <c r="I34" s="340" t="n">
        <v>20.87</v>
      </c>
      <c r="J34" s="325"/>
      <c r="K34" s="340"/>
      <c r="L34" s="341" t="s">
        <v>342</v>
      </c>
      <c r="M34" s="342" t="str">
        <f aca="false">YEAR('LT records'!$B34)&amp;"-"&amp;MONTH('LT records'!$B34)</f>
        <v>2013-5</v>
      </c>
      <c r="N34" s="343" t="n">
        <f aca="false">'LT records'!$H34+'LT records'!$I34</f>
        <v>20.87</v>
      </c>
      <c r="O34" s="347"/>
      <c r="P34" s="347"/>
      <c r="Q34" s="336"/>
      <c r="R34" s="337"/>
      <c r="T34" s="327"/>
    </row>
    <row r="35" customFormat="false" ht="12.8" hidden="false" customHeight="false" outlineLevel="0" collapsed="false">
      <c r="B35" s="270" t="n">
        <v>41414</v>
      </c>
      <c r="C35" s="348" t="n">
        <f aca="false">YEAR('LT records'!$B35)</f>
        <v>2013</v>
      </c>
      <c r="D35" s="346" t="str">
        <f aca="false">'LT records'!$C35&amp;"-"&amp;MONTH('LT records'!$B35)</f>
        <v>2013-5</v>
      </c>
      <c r="E35" s="324" t="s">
        <v>340</v>
      </c>
      <c r="F35" s="324" t="str">
        <f aca="false">LEFT('LT records'!$E35,3)</f>
        <v>MyF</v>
      </c>
      <c r="G35" s="324" t="str">
        <f aca="false">IF(OR('LT records'!$F35="MyF", 'LT records'!$F35="DEP"),"DEP",IF('LT records'!$F35="CSH","CSH",IF('LT records'!$F35="BON","BND",IF('LT records'!$F35="Sma","MKT",IF(OR('LT records'!$F35="Val", 'LT records'!$F35="EUR"),"FCY",IF('LT records'!$F35="X-P","PP3",IF('LT records'!$F35="X-m","XAU","???")))))))</f>
        <v>DEP</v>
      </c>
      <c r="H35" s="325" t="n">
        <v>0</v>
      </c>
      <c r="I35" s="340" t="n">
        <v>21.35</v>
      </c>
      <c r="J35" s="325"/>
      <c r="K35" s="340"/>
      <c r="L35" s="341" t="s">
        <v>342</v>
      </c>
      <c r="M35" s="342" t="str">
        <f aca="false">YEAR('LT records'!$B35)&amp;"-"&amp;MONTH('LT records'!$B35)</f>
        <v>2013-5</v>
      </c>
      <c r="N35" s="343" t="n">
        <f aca="false">'LT records'!$H35+'LT records'!$I35</f>
        <v>21.35</v>
      </c>
      <c r="O35" s="347"/>
      <c r="P35" s="347"/>
      <c r="Q35" s="336"/>
      <c r="R35" s="337"/>
      <c r="T35" s="327"/>
    </row>
    <row r="36" customFormat="false" ht="12.8" hidden="false" customHeight="false" outlineLevel="0" collapsed="false">
      <c r="B36" s="270" t="n">
        <v>41401</v>
      </c>
      <c r="C36" s="348" t="n">
        <f aca="false">YEAR('LT records'!$B36)</f>
        <v>2013</v>
      </c>
      <c r="D36" s="346" t="str">
        <f aca="false">'LT records'!$C36&amp;"-"&amp;MONTH('LT records'!$B36)</f>
        <v>2013-5</v>
      </c>
      <c r="E36" s="324" t="s">
        <v>344</v>
      </c>
      <c r="F36" s="324" t="str">
        <f aca="false">LEFT('LT records'!$E36,3)</f>
        <v>MyF</v>
      </c>
      <c r="G36" s="324" t="str">
        <f aca="false">IF(OR('LT records'!$F36="MyF", 'LT records'!$F36="DEP"),"DEP",IF('LT records'!$F36="CSH","CSH",IF('LT records'!$F36="BON","BND",IF('LT records'!$F36="Sma","MKT",IF(OR('LT records'!$F36="Val", 'LT records'!$F36="EUR"),"FCY",IF('LT records'!$F36="X-P","PP3",IF('LT records'!$F36="X-m","XAU","???")))))))</f>
        <v>DEP</v>
      </c>
      <c r="H36" s="325" t="n">
        <v>0</v>
      </c>
      <c r="I36" s="340" t="n">
        <f aca="false">24.87-3.98</f>
        <v>20.89</v>
      </c>
      <c r="J36" s="325"/>
      <c r="K36" s="340"/>
      <c r="L36" s="341" t="s">
        <v>342</v>
      </c>
      <c r="M36" s="342" t="str">
        <f aca="false">YEAR('LT records'!$B36)&amp;"-"&amp;MONTH('LT records'!$B36)</f>
        <v>2013-5</v>
      </c>
      <c r="N36" s="343" t="n">
        <f aca="false">'LT records'!$H36+'LT records'!$I36</f>
        <v>20.89</v>
      </c>
      <c r="O36" s="347"/>
      <c r="P36" s="347"/>
      <c r="Q36" s="336"/>
      <c r="R36" s="337"/>
      <c r="T36" s="327"/>
    </row>
    <row r="37" customFormat="false" ht="12.8" hidden="false" customHeight="false" outlineLevel="0" collapsed="false">
      <c r="B37" s="270" t="n">
        <v>41401</v>
      </c>
      <c r="C37" s="348" t="n">
        <f aca="false">YEAR('LT records'!$B37)</f>
        <v>2013</v>
      </c>
      <c r="D37" s="346" t="str">
        <f aca="false">'LT records'!$C37&amp;"-"&amp;MONTH('LT records'!$B37)</f>
        <v>2013-5</v>
      </c>
      <c r="E37" s="324" t="s">
        <v>344</v>
      </c>
      <c r="F37" s="324" t="str">
        <f aca="false">LEFT('LT records'!$E37,3)</f>
        <v>MyF</v>
      </c>
      <c r="G37" s="324" t="str">
        <f aca="false">IF(OR('LT records'!$F37="MyF", 'LT records'!$F37="DEP"),"DEP",IF('LT records'!$F37="CSH","CSH",IF('LT records'!$F37="BON","BND",IF('LT records'!$F37="Sma","MKT",IF(OR('LT records'!$F37="Val", 'LT records'!$F37="EUR"),"FCY",IF('LT records'!$F37="X-P","PP3",IF('LT records'!$F37="X-m","XAU","???")))))))</f>
        <v>DEP</v>
      </c>
      <c r="H37" s="325" t="n">
        <v>-613.74</v>
      </c>
      <c r="I37" s="340"/>
      <c r="J37" s="325"/>
      <c r="K37" s="340"/>
      <c r="L37" s="341" t="s">
        <v>354</v>
      </c>
      <c r="M37" s="342" t="str">
        <f aca="false">YEAR('LT records'!$B37)&amp;"-"&amp;MONTH('LT records'!$B37)</f>
        <v>2013-5</v>
      </c>
      <c r="N37" s="343" t="n">
        <f aca="false">'LT records'!$H37+'LT records'!$I37</f>
        <v>-613.74</v>
      </c>
      <c r="O37" s="347"/>
      <c r="P37" s="347"/>
      <c r="Q37" s="336"/>
      <c r="R37" s="337"/>
      <c r="T37" s="327"/>
    </row>
    <row r="38" customFormat="false" ht="12.8" hidden="false" customHeight="false" outlineLevel="0" collapsed="false">
      <c r="B38" s="270" t="n">
        <v>41441</v>
      </c>
      <c r="C38" s="348" t="n">
        <f aca="false">YEAR('LT records'!$B38)</f>
        <v>2013</v>
      </c>
      <c r="D38" s="346" t="str">
        <f aca="false">'LT records'!$C38&amp;"-"&amp;MONTH('LT records'!$B38)</f>
        <v>2013-6</v>
      </c>
      <c r="E38" s="324" t="s">
        <v>344</v>
      </c>
      <c r="F38" s="324" t="str">
        <f aca="false">LEFT('LT records'!$E38,3)</f>
        <v>MyF</v>
      </c>
      <c r="G38" s="324" t="str">
        <f aca="false">IF(OR('LT records'!$F38="MyF", 'LT records'!$F38="DEP"),"DEP",IF('LT records'!$F38="CSH","CSH",IF('LT records'!$F38="BON","BND",IF('LT records'!$F38="Sma","MKT",IF(OR('LT records'!$F38="Val", 'LT records'!$F38="EUR"),"FCY",IF('LT records'!$F38="X-P","PP3",IF('LT records'!$F38="X-m","XAU","???")))))))</f>
        <v>DEP</v>
      </c>
      <c r="H38" s="325" t="n">
        <v>-500</v>
      </c>
      <c r="I38" s="340"/>
      <c r="J38" s="325"/>
      <c r="K38" s="340"/>
      <c r="L38" s="341" t="s">
        <v>354</v>
      </c>
      <c r="M38" s="342" t="str">
        <f aca="false">YEAR('LT records'!$B38)&amp;"-"&amp;MONTH('LT records'!$B38)</f>
        <v>2013-6</v>
      </c>
      <c r="N38" s="343" t="n">
        <f aca="false">'LT records'!$H38+'LT records'!$I38</f>
        <v>-500</v>
      </c>
      <c r="O38" s="347"/>
      <c r="P38" s="347"/>
      <c r="Q38" s="336"/>
      <c r="R38" s="337"/>
      <c r="T38" s="327"/>
    </row>
    <row r="39" customFormat="false" ht="12.8" hidden="false" customHeight="false" outlineLevel="0" collapsed="false">
      <c r="B39" s="270" t="n">
        <v>41445</v>
      </c>
      <c r="C39" s="348" t="n">
        <f aca="false">YEAR('LT records'!$B39)</f>
        <v>2013</v>
      </c>
      <c r="D39" s="346" t="str">
        <f aca="false">'LT records'!$C39&amp;"-"&amp;MONTH('LT records'!$B39)</f>
        <v>2013-6</v>
      </c>
      <c r="E39" s="324" t="s">
        <v>337</v>
      </c>
      <c r="F39" s="324" t="str">
        <f aca="false">LEFT('LT records'!$E39,3)</f>
        <v>MyF</v>
      </c>
      <c r="G39" s="324" t="str">
        <f aca="false">IF(OR('LT records'!$F39="MyF", 'LT records'!$F39="DEP"),"DEP",IF('LT records'!$F39="CSH","CSH",IF('LT records'!$F39="BON","BND",IF('LT records'!$F39="Sma","MKT",IF(OR('LT records'!$F39="Val", 'LT records'!$F39="EUR"),"FCY",IF('LT records'!$F39="X-P","PP3",IF('LT records'!$F39="X-m","XAU","???")))))))</f>
        <v>DEP</v>
      </c>
      <c r="H39" s="325" t="n">
        <v>0</v>
      </c>
      <c r="I39" s="340" t="n">
        <v>19.32</v>
      </c>
      <c r="J39" s="325"/>
      <c r="K39" s="340"/>
      <c r="L39" s="341" t="s">
        <v>342</v>
      </c>
      <c r="M39" s="342" t="str">
        <f aca="false">YEAR('LT records'!$B39)&amp;"-"&amp;MONTH('LT records'!$B39)</f>
        <v>2013-6</v>
      </c>
      <c r="N39" s="343" t="n">
        <f aca="false">'LT records'!$H39+'LT records'!$I39</f>
        <v>19.32</v>
      </c>
      <c r="O39" s="347"/>
      <c r="P39" s="347"/>
      <c r="Q39" s="336"/>
      <c r="R39" s="337"/>
      <c r="T39" s="327"/>
    </row>
    <row r="40" customFormat="false" ht="12.8" hidden="false" customHeight="false" outlineLevel="0" collapsed="false">
      <c r="B40" s="270" t="n">
        <v>41445</v>
      </c>
      <c r="C40" s="348" t="n">
        <f aca="false">YEAR('LT records'!$B40)</f>
        <v>2013</v>
      </c>
      <c r="D40" s="346" t="str">
        <f aca="false">'LT records'!$C40&amp;"-"&amp;MONTH('LT records'!$B40)</f>
        <v>2013-6</v>
      </c>
      <c r="E40" s="324" t="s">
        <v>337</v>
      </c>
      <c r="F40" s="324" t="str">
        <f aca="false">LEFT('LT records'!$E40,3)</f>
        <v>MyF</v>
      </c>
      <c r="G40" s="324" t="str">
        <f aca="false">IF(OR('LT records'!$F40="MyF", 'LT records'!$F40="DEP"),"DEP",IF('LT records'!$F40="CSH","CSH",IF('LT records'!$F40="BON","BND",IF('LT records'!$F40="Sma","MKT",IF(OR('LT records'!$F40="Val", 'LT records'!$F40="EUR"),"FCY",IF('LT records'!$F40="X-P","PP3",IF('LT records'!$F40="X-m","XAU","???")))))))</f>
        <v>DEP</v>
      </c>
      <c r="H40" s="325" t="n">
        <v>-128.98</v>
      </c>
      <c r="I40" s="340"/>
      <c r="J40" s="325"/>
      <c r="K40" s="340"/>
      <c r="L40" s="341" t="s">
        <v>354</v>
      </c>
      <c r="M40" s="342" t="str">
        <f aca="false">YEAR('LT records'!$B40)&amp;"-"&amp;MONTH('LT records'!$B40)</f>
        <v>2013-6</v>
      </c>
      <c r="N40" s="343" t="n">
        <f aca="false">'LT records'!$H40+'LT records'!$I40</f>
        <v>-128.98</v>
      </c>
      <c r="O40" s="347"/>
      <c r="P40" s="347"/>
      <c r="Q40" s="336"/>
      <c r="R40" s="337"/>
      <c r="T40" s="327"/>
    </row>
    <row r="41" customFormat="false" ht="12.8" hidden="false" customHeight="false" outlineLevel="0" collapsed="false">
      <c r="B41" s="270" t="n">
        <v>41445</v>
      </c>
      <c r="C41" s="348" t="n">
        <f aca="false">YEAR('LT records'!$B41)</f>
        <v>2013</v>
      </c>
      <c r="D41" s="346" t="str">
        <f aca="false">'LT records'!$C41&amp;"-"&amp;MONTH('LT records'!$B41)</f>
        <v>2013-6</v>
      </c>
      <c r="E41" s="324" t="s">
        <v>340</v>
      </c>
      <c r="F41" s="324" t="str">
        <f aca="false">LEFT('LT records'!$E41,3)</f>
        <v>MyF</v>
      </c>
      <c r="G41" s="324" t="str">
        <f aca="false">IF(OR('LT records'!$F41="MyF", 'LT records'!$F41="DEP"),"DEP",IF('LT records'!$F41="CSH","CSH",IF('LT records'!$F41="BON","BND",IF('LT records'!$F41="Sma","MKT",IF(OR('LT records'!$F41="Val", 'LT records'!$F41="EUR"),"FCY",IF('LT records'!$F41="X-P","PP3",IF('LT records'!$F41="X-m","XAU","???")))))))</f>
        <v>DEP</v>
      </c>
      <c r="H41" s="325" t="n">
        <v>0</v>
      </c>
      <c r="I41" s="340" t="n">
        <v>19.15</v>
      </c>
      <c r="J41" s="325"/>
      <c r="K41" s="340"/>
      <c r="L41" s="341" t="s">
        <v>342</v>
      </c>
      <c r="M41" s="342" t="str">
        <f aca="false">YEAR('LT records'!$B41)&amp;"-"&amp;MONTH('LT records'!$B41)</f>
        <v>2013-6</v>
      </c>
      <c r="N41" s="343" t="n">
        <f aca="false">'LT records'!$H41+'LT records'!$I41</f>
        <v>19.15</v>
      </c>
      <c r="O41" s="335"/>
      <c r="P41" s="335"/>
      <c r="Q41" s="336"/>
      <c r="R41" s="337"/>
      <c r="T41" s="327"/>
    </row>
    <row r="42" customFormat="false" ht="12.8" hidden="false" customHeight="false" outlineLevel="0" collapsed="false">
      <c r="B42" s="270" t="n">
        <v>41445</v>
      </c>
      <c r="C42" s="348" t="n">
        <f aca="false">YEAR('LT records'!$B42)</f>
        <v>2013</v>
      </c>
      <c r="D42" s="346" t="str">
        <f aca="false">'LT records'!$C42&amp;"-"&amp;MONTH('LT records'!$B42)</f>
        <v>2013-6</v>
      </c>
      <c r="E42" s="324" t="s">
        <v>340</v>
      </c>
      <c r="F42" s="324" t="str">
        <f aca="false">LEFT('LT records'!$E42,3)</f>
        <v>MyF</v>
      </c>
      <c r="G42" s="324" t="str">
        <f aca="false">IF(OR('LT records'!$F42="MyF", 'LT records'!$F42="DEP"),"DEP",IF('LT records'!$F42="CSH","CSH",IF('LT records'!$F42="BON","BND",IF('LT records'!$F42="Sma","MKT",IF(OR('LT records'!$F42="Val", 'LT records'!$F42="EUR"),"FCY",IF('LT records'!$F42="X-P","PP3",IF('LT records'!$F42="X-m","XAU","???")))))))</f>
        <v>DEP</v>
      </c>
      <c r="H42" s="325" t="n">
        <v>-83.88</v>
      </c>
      <c r="I42" s="340"/>
      <c r="J42" s="325"/>
      <c r="K42" s="340"/>
      <c r="L42" s="341" t="s">
        <v>354</v>
      </c>
      <c r="M42" s="342" t="str">
        <f aca="false">YEAR('LT records'!$B42)&amp;"-"&amp;MONTH('LT records'!$B42)</f>
        <v>2013-6</v>
      </c>
      <c r="N42" s="343" t="n">
        <f aca="false">'LT records'!$H42+'LT records'!$I42</f>
        <v>-83.88</v>
      </c>
      <c r="O42" s="347"/>
      <c r="P42" s="347"/>
      <c r="Q42" s="336"/>
      <c r="R42" s="337"/>
      <c r="T42" s="327"/>
    </row>
    <row r="43" customFormat="false" ht="12.8" hidden="false" customHeight="false" outlineLevel="0" collapsed="false">
      <c r="B43" s="270" t="n">
        <v>41471</v>
      </c>
      <c r="C43" s="348" t="n">
        <f aca="false">YEAR('LT records'!$B43)</f>
        <v>2013</v>
      </c>
      <c r="D43" s="346" t="str">
        <f aca="false">'LT records'!$C43&amp;"-"&amp;MONTH('LT records'!$B43)</f>
        <v>2013-7</v>
      </c>
      <c r="E43" s="324" t="s">
        <v>344</v>
      </c>
      <c r="F43" s="324" t="str">
        <f aca="false">LEFT('LT records'!$E43,3)</f>
        <v>MyF</v>
      </c>
      <c r="G43" s="324" t="str">
        <f aca="false">IF(OR('LT records'!$F43="MyF", 'LT records'!$F43="DEP"),"DEP",IF('LT records'!$F43="CSH","CSH",IF('LT records'!$F43="BON","BND",IF('LT records'!$F43="Sma","MKT",IF(OR('LT records'!$F43="Val", 'LT records'!$F43="EUR"),"FCY",IF('LT records'!$F43="X-P","PP3",IF('LT records'!$F43="X-m","XAU","???")))))))</f>
        <v>DEP</v>
      </c>
      <c r="H43" s="325" t="n">
        <v>0</v>
      </c>
      <c r="I43" s="340" t="n">
        <v>13.26</v>
      </c>
      <c r="J43" s="325"/>
      <c r="K43" s="340"/>
      <c r="L43" s="341" t="s">
        <v>342</v>
      </c>
      <c r="M43" s="342" t="str">
        <f aca="false">YEAR('LT records'!$B43)&amp;"-"&amp;MONTH('LT records'!$B43)</f>
        <v>2013-7</v>
      </c>
      <c r="N43" s="343" t="n">
        <f aca="false">'LT records'!$H43+'LT records'!$I43</f>
        <v>13.26</v>
      </c>
      <c r="O43" s="347"/>
      <c r="P43" s="347"/>
      <c r="Q43" s="336"/>
      <c r="R43" s="337"/>
      <c r="T43" s="327"/>
    </row>
    <row r="44" customFormat="false" ht="12.8" hidden="false" customHeight="false" outlineLevel="0" collapsed="false">
      <c r="B44" s="270" t="n">
        <v>41471</v>
      </c>
      <c r="C44" s="348" t="n">
        <f aca="false">YEAR('LT records'!$B44)</f>
        <v>2013</v>
      </c>
      <c r="D44" s="346" t="str">
        <f aca="false">'LT records'!$C44&amp;"-"&amp;MONTH('LT records'!$B44)</f>
        <v>2013-7</v>
      </c>
      <c r="E44" s="324" t="s">
        <v>344</v>
      </c>
      <c r="F44" s="324" t="str">
        <f aca="false">LEFT('LT records'!$E44,3)</f>
        <v>MyF</v>
      </c>
      <c r="G44" s="324" t="str">
        <f aca="false">IF(OR('LT records'!$F44="MyF", 'LT records'!$F44="DEP"),"DEP",IF('LT records'!$F44="CSH","CSH",IF('LT records'!$F44="BON","BND",IF('LT records'!$F44="Sma","MKT",IF(OR('LT records'!$F44="Val", 'LT records'!$F44="EUR"),"FCY",IF('LT records'!$F44="X-P","PP3",IF('LT records'!$F44="X-m","XAU","???")))))))</f>
        <v>DEP</v>
      </c>
      <c r="H44" s="325" t="n">
        <v>486.74</v>
      </c>
      <c r="I44" s="340"/>
      <c r="J44" s="325"/>
      <c r="K44" s="340"/>
      <c r="L44" s="341" t="s">
        <v>347</v>
      </c>
      <c r="M44" s="342" t="str">
        <f aca="false">YEAR('LT records'!$B44)&amp;"-"&amp;MONTH('LT records'!$B44)</f>
        <v>2013-7</v>
      </c>
      <c r="N44" s="343" t="n">
        <f aca="false">'LT records'!$H44+'LT records'!$I44</f>
        <v>486.74</v>
      </c>
      <c r="O44" s="335"/>
      <c r="P44" s="335"/>
      <c r="Q44" s="336"/>
      <c r="R44" s="337"/>
      <c r="T44" s="327"/>
    </row>
    <row r="45" customFormat="false" ht="12.8" hidden="false" customHeight="false" outlineLevel="0" collapsed="false">
      <c r="B45" s="270" t="n">
        <v>41477</v>
      </c>
      <c r="C45" s="348" t="n">
        <f aca="false">YEAR('LT records'!$B45)</f>
        <v>2013</v>
      </c>
      <c r="D45" s="346" t="str">
        <f aca="false">'LT records'!$C45&amp;"-"&amp;MONTH('LT records'!$B45)</f>
        <v>2013-7</v>
      </c>
      <c r="E45" s="324" t="s">
        <v>337</v>
      </c>
      <c r="F45" s="324" t="str">
        <f aca="false">LEFT('LT records'!$E45,3)</f>
        <v>MyF</v>
      </c>
      <c r="G45" s="324" t="str">
        <f aca="false">IF(OR('LT records'!$F45="MyF", 'LT records'!$F45="DEP"),"DEP",IF('LT records'!$F45="CSH","CSH",IF('LT records'!$F45="BON","BND",IF('LT records'!$F45="Sma","MKT",IF(OR('LT records'!$F45="Val", 'LT records'!$F45="EUR"),"FCY",IF('LT records'!$F45="X-P","PP3",IF('LT records'!$F45="X-m","XAU","???")))))))</f>
        <v>DEP</v>
      </c>
      <c r="H45" s="325" t="n">
        <v>0</v>
      </c>
      <c r="I45" s="340" t="n">
        <v>17.67</v>
      </c>
      <c r="J45" s="325"/>
      <c r="K45" s="340"/>
      <c r="L45" s="341" t="s">
        <v>342</v>
      </c>
      <c r="M45" s="342" t="str">
        <f aca="false">YEAR('LT records'!$B45)&amp;"-"&amp;MONTH('LT records'!$B45)</f>
        <v>2013-7</v>
      </c>
      <c r="N45" s="343" t="n">
        <f aca="false">'LT records'!$H45+'LT records'!$I45</f>
        <v>17.67</v>
      </c>
      <c r="O45" s="335"/>
      <c r="P45" s="335"/>
      <c r="Q45" s="336"/>
      <c r="R45" s="337"/>
      <c r="T45" s="327"/>
    </row>
    <row r="46" customFormat="false" ht="12.8" hidden="false" customHeight="false" outlineLevel="0" collapsed="false">
      <c r="B46" s="270" t="n">
        <v>41477</v>
      </c>
      <c r="C46" s="348" t="n">
        <f aca="false">YEAR('LT records'!$B46)</f>
        <v>2013</v>
      </c>
      <c r="D46" s="346" t="str">
        <f aca="false">'LT records'!$C46&amp;"-"&amp;MONTH('LT records'!$B46)</f>
        <v>2013-7</v>
      </c>
      <c r="E46" s="324" t="s">
        <v>340</v>
      </c>
      <c r="F46" s="324" t="str">
        <f aca="false">LEFT('LT records'!$E46,3)</f>
        <v>MyF</v>
      </c>
      <c r="G46" s="324" t="str">
        <f aca="false">IF(OR('LT records'!$F46="MyF", 'LT records'!$F46="DEP"),"DEP",IF('LT records'!$F46="CSH","CSH",IF('LT records'!$F46="BON","BND",IF('LT records'!$F46="Sma","MKT",IF(OR('LT records'!$F46="Val", 'LT records'!$F46="EUR"),"FCY",IF('LT records'!$F46="X-P","PP3",IF('LT records'!$F46="X-m","XAU","???")))))))</f>
        <v>DEP</v>
      </c>
      <c r="H46" s="325" t="n">
        <v>0</v>
      </c>
      <c r="I46" s="340" t="n">
        <v>17.67</v>
      </c>
      <c r="J46" s="325"/>
      <c r="K46" s="340"/>
      <c r="L46" s="341" t="s">
        <v>342</v>
      </c>
      <c r="M46" s="342" t="str">
        <f aca="false">YEAR('LT records'!$B46)&amp;"-"&amp;MONTH('LT records'!$B46)</f>
        <v>2013-7</v>
      </c>
      <c r="N46" s="343" t="n">
        <f aca="false">'LT records'!$H46+'LT records'!$I46</f>
        <v>17.67</v>
      </c>
      <c r="O46" s="347"/>
      <c r="P46" s="347"/>
      <c r="Q46" s="336"/>
      <c r="R46" s="337"/>
      <c r="T46" s="327"/>
    </row>
    <row r="47" customFormat="false" ht="12.8" hidden="false" customHeight="false" outlineLevel="0" collapsed="false">
      <c r="B47" s="270" t="n">
        <v>41477</v>
      </c>
      <c r="C47" s="348" t="n">
        <f aca="false">YEAR('LT records'!$B47)</f>
        <v>2013</v>
      </c>
      <c r="D47" s="346" t="str">
        <f aca="false">'LT records'!$C47&amp;"-"&amp;MONTH('LT records'!$B47)</f>
        <v>2013-7</v>
      </c>
      <c r="E47" s="324" t="s">
        <v>337</v>
      </c>
      <c r="F47" s="324" t="str">
        <f aca="false">LEFT('LT records'!$E47,3)</f>
        <v>MyF</v>
      </c>
      <c r="G47" s="324" t="str">
        <f aca="false">IF(OR('LT records'!$F47="MyF", 'LT records'!$F47="DEP"),"DEP",IF('LT records'!$F47="CSH","CSH",IF('LT records'!$F47="BON","BND",IF('LT records'!$F47="Sma","MKT",IF(OR('LT records'!$F47="Val", 'LT records'!$F47="EUR"),"FCY",IF('LT records'!$F47="X-P","PP3",IF('LT records'!$F47="X-m","XAU","???")))))))</f>
        <v>DEP</v>
      </c>
      <c r="H47" s="325" t="n">
        <v>-17.67</v>
      </c>
      <c r="I47" s="340"/>
      <c r="J47" s="325"/>
      <c r="K47" s="340"/>
      <c r="L47" s="341" t="s">
        <v>354</v>
      </c>
      <c r="M47" s="342" t="str">
        <f aca="false">YEAR('LT records'!$B47)&amp;"-"&amp;MONTH('LT records'!$B47)</f>
        <v>2013-7</v>
      </c>
      <c r="N47" s="343" t="n">
        <f aca="false">'LT records'!$H47+'LT records'!$I47</f>
        <v>-17.67</v>
      </c>
      <c r="O47" s="347"/>
      <c r="P47" s="347"/>
      <c r="Q47" s="336"/>
      <c r="R47" s="337"/>
      <c r="T47" s="327"/>
    </row>
    <row r="48" customFormat="false" ht="12.8" hidden="false" customHeight="false" outlineLevel="0" collapsed="false">
      <c r="B48" s="270" t="n">
        <v>41477</v>
      </c>
      <c r="C48" s="348" t="n">
        <f aca="false">YEAR('LT records'!$B48)</f>
        <v>2013</v>
      </c>
      <c r="D48" s="346" t="str">
        <f aca="false">'LT records'!$C48&amp;"-"&amp;MONTH('LT records'!$B48)</f>
        <v>2013-7</v>
      </c>
      <c r="E48" s="324" t="s">
        <v>340</v>
      </c>
      <c r="F48" s="324" t="str">
        <f aca="false">LEFT('LT records'!$E48,3)</f>
        <v>MyF</v>
      </c>
      <c r="G48" s="324" t="str">
        <f aca="false">IF(OR('LT records'!$F48="MyF", 'LT records'!$F48="DEP"),"DEP",IF('LT records'!$F48="CSH","CSH",IF('LT records'!$F48="BON","BND",IF('LT records'!$F48="Sma","MKT",IF(OR('LT records'!$F48="Val", 'LT records'!$F48="EUR"),"FCY",IF('LT records'!$F48="X-P","PP3",IF('LT records'!$F48="X-m","XAU","???")))))))</f>
        <v>DEP</v>
      </c>
      <c r="H48" s="325" t="n">
        <v>-17.67</v>
      </c>
      <c r="I48" s="340"/>
      <c r="J48" s="325"/>
      <c r="K48" s="340"/>
      <c r="L48" s="341" t="s">
        <v>354</v>
      </c>
      <c r="M48" s="342" t="str">
        <f aca="false">YEAR('LT records'!$B48)&amp;"-"&amp;MONTH('LT records'!$B48)</f>
        <v>2013-7</v>
      </c>
      <c r="N48" s="343" t="n">
        <f aca="false">'LT records'!$H48+'LT records'!$I48</f>
        <v>-17.67</v>
      </c>
      <c r="O48" s="335"/>
      <c r="P48" s="335"/>
      <c r="Q48" s="336"/>
      <c r="R48" s="337"/>
      <c r="T48" s="327"/>
    </row>
    <row r="49" customFormat="false" ht="12.8" hidden="false" customHeight="false" outlineLevel="0" collapsed="false">
      <c r="B49" s="270" t="n">
        <v>41492</v>
      </c>
      <c r="C49" s="348" t="n">
        <f aca="false">YEAR('LT records'!$B49)</f>
        <v>2013</v>
      </c>
      <c r="D49" s="346" t="str">
        <f aca="false">'LT records'!$C49&amp;"-"&amp;MONTH('LT records'!$B49)</f>
        <v>2013-8</v>
      </c>
      <c r="E49" s="324" t="s">
        <v>350</v>
      </c>
      <c r="F49" s="324" t="str">
        <f aca="false">LEFT('LT records'!$E49,3)</f>
        <v>MyF</v>
      </c>
      <c r="G49" s="324" t="str">
        <f aca="false">IF(OR('LT records'!$F49="MyF", 'LT records'!$F49="DEP"),"DEP",IF('LT records'!$F49="CSH","CSH",IF('LT records'!$F49="BON","BND",IF('LT records'!$F49="Sma","MKT",IF(OR('LT records'!$F49="Val", 'LT records'!$F49="EUR"),"FCY",IF('LT records'!$F49="X-P","PP3",IF('LT records'!$F49="X-m","XAU","???")))))))</f>
        <v>DEP</v>
      </c>
      <c r="H49" s="325" t="n">
        <v>500</v>
      </c>
      <c r="I49" s="340"/>
      <c r="J49" s="325"/>
      <c r="K49" s="340"/>
      <c r="L49" s="341" t="s">
        <v>341</v>
      </c>
      <c r="M49" s="342" t="str">
        <f aca="false">YEAR('LT records'!$B49)&amp;"-"&amp;MONTH('LT records'!$B49)</f>
        <v>2013-8</v>
      </c>
      <c r="N49" s="343" t="n">
        <f aca="false">'LT records'!$H49+'LT records'!$I49</f>
        <v>500</v>
      </c>
      <c r="O49" s="335"/>
      <c r="P49" s="335"/>
      <c r="Q49" s="336"/>
      <c r="R49" s="337"/>
      <c r="T49" s="327"/>
    </row>
    <row r="50" customFormat="false" ht="12.8" hidden="false" customHeight="false" outlineLevel="0" collapsed="false">
      <c r="B50" s="270" t="n">
        <v>41502</v>
      </c>
      <c r="C50" s="348" t="n">
        <f aca="false">YEAR('LT records'!$B50)</f>
        <v>2013</v>
      </c>
      <c r="D50" s="346" t="str">
        <f aca="false">'LT records'!$C50&amp;"-"&amp;MONTH('LT records'!$B50)</f>
        <v>2013-8</v>
      </c>
      <c r="E50" s="324" t="s">
        <v>344</v>
      </c>
      <c r="F50" s="324" t="str">
        <f aca="false">LEFT('LT records'!$E50,3)</f>
        <v>MyF</v>
      </c>
      <c r="G50" s="324" t="str">
        <f aca="false">IF(OR('LT records'!$F50="MyF", 'LT records'!$F50="DEP"),"DEP",IF('LT records'!$F50="CSH","CSH",IF('LT records'!$F50="BON","BND",IF('LT records'!$F50="Sma","MKT",IF(OR('LT records'!$F50="Val", 'LT records'!$F50="EUR"),"FCY",IF('LT records'!$F50="X-P","PP3",IF('LT records'!$F50="X-m","XAU","???")))))))</f>
        <v>DEP</v>
      </c>
      <c r="H50" s="325" t="n">
        <v>0</v>
      </c>
      <c r="I50" s="340" t="n">
        <v>15.41</v>
      </c>
      <c r="J50" s="325"/>
      <c r="K50" s="340"/>
      <c r="L50" s="341" t="s">
        <v>342</v>
      </c>
      <c r="M50" s="342" t="str">
        <f aca="false">YEAR('LT records'!$B50)&amp;"-"&amp;MONTH('LT records'!$B50)</f>
        <v>2013-8</v>
      </c>
      <c r="N50" s="343" t="n">
        <f aca="false">'LT records'!$H50+'LT records'!$I50</f>
        <v>15.41</v>
      </c>
      <c r="O50" s="347"/>
      <c r="P50" s="347"/>
      <c r="Q50" s="336"/>
      <c r="R50" s="337"/>
      <c r="T50" s="327"/>
    </row>
    <row r="51" customFormat="false" ht="12.8" hidden="false" customHeight="false" outlineLevel="0" collapsed="false">
      <c r="B51" s="270" t="n">
        <v>41502</v>
      </c>
      <c r="C51" s="348" t="n">
        <f aca="false">YEAR('LT records'!$B51)</f>
        <v>2013</v>
      </c>
      <c r="D51" s="346" t="str">
        <f aca="false">'LT records'!$C51&amp;"-"&amp;MONTH('LT records'!$B51)</f>
        <v>2013-8</v>
      </c>
      <c r="E51" s="324" t="s">
        <v>344</v>
      </c>
      <c r="F51" s="324" t="str">
        <f aca="false">LEFT('LT records'!$E51,3)</f>
        <v>MyF</v>
      </c>
      <c r="G51" s="324" t="str">
        <f aca="false">IF(OR('LT records'!$F51="MyF", 'LT records'!$F51="DEP"),"DEP",IF('LT records'!$F51="CSH","CSH",IF('LT records'!$F51="BON","BND",IF('LT records'!$F51="Sma","MKT",IF(OR('LT records'!$F51="Val", 'LT records'!$F51="EUR"),"FCY",IF('LT records'!$F51="X-P","PP3",IF('LT records'!$F51="X-m","XAU","???")))))))</f>
        <v>DEP</v>
      </c>
      <c r="H51" s="325" t="n">
        <v>-15.41</v>
      </c>
      <c r="I51" s="340"/>
      <c r="J51" s="325"/>
      <c r="K51" s="340"/>
      <c r="L51" s="341" t="s">
        <v>354</v>
      </c>
      <c r="M51" s="342" t="str">
        <f aca="false">YEAR('LT records'!$B51)&amp;"-"&amp;MONTH('LT records'!$B51)</f>
        <v>2013-8</v>
      </c>
      <c r="N51" s="343" t="n">
        <f aca="false">'LT records'!$H51+'LT records'!$I51</f>
        <v>-15.41</v>
      </c>
      <c r="O51" s="347"/>
      <c r="P51" s="347"/>
      <c r="Q51" s="336"/>
      <c r="R51" s="337"/>
      <c r="T51" s="327"/>
    </row>
    <row r="52" customFormat="false" ht="12.8" hidden="false" customHeight="false" outlineLevel="0" collapsed="false">
      <c r="B52" s="270" t="n">
        <v>41502</v>
      </c>
      <c r="C52" s="348" t="n">
        <f aca="false">YEAR('LT records'!$B52)</f>
        <v>2013</v>
      </c>
      <c r="D52" s="346" t="str">
        <f aca="false">'LT records'!$C52&amp;"-"&amp;MONTH('LT records'!$B52)</f>
        <v>2013-8</v>
      </c>
      <c r="E52" s="324" t="s">
        <v>344</v>
      </c>
      <c r="F52" s="324" t="str">
        <f aca="false">LEFT('LT records'!$E52,3)</f>
        <v>MyF</v>
      </c>
      <c r="G52" s="324" t="str">
        <f aca="false">IF(OR('LT records'!$F52="MyF", 'LT records'!$F52="DEP"),"DEP",IF('LT records'!$F52="CSH","CSH",IF('LT records'!$F52="BON","BND",IF('LT records'!$F52="Sma","MKT",IF(OR('LT records'!$F52="Val", 'LT records'!$F52="EUR"),"FCY",IF('LT records'!$F52="X-P","PP3",IF('LT records'!$F52="X-m","XAU","???")))))))</f>
        <v>DEP</v>
      </c>
      <c r="H52" s="325" t="n">
        <v>500</v>
      </c>
      <c r="I52" s="340"/>
      <c r="J52" s="325"/>
      <c r="K52" s="340"/>
      <c r="L52" s="341" t="s">
        <v>347</v>
      </c>
      <c r="M52" s="342" t="str">
        <f aca="false">YEAR('LT records'!$B52)&amp;"-"&amp;MONTH('LT records'!$B52)</f>
        <v>2013-8</v>
      </c>
      <c r="N52" s="343" t="n">
        <f aca="false">'LT records'!$H52+'LT records'!$I52</f>
        <v>500</v>
      </c>
      <c r="O52" s="335"/>
      <c r="P52" s="335"/>
      <c r="Q52" s="336"/>
      <c r="R52" s="337"/>
      <c r="T52" s="327"/>
    </row>
    <row r="53" customFormat="false" ht="12.8" hidden="false" customHeight="false" outlineLevel="0" collapsed="false">
      <c r="B53" s="270" t="n">
        <v>41508</v>
      </c>
      <c r="C53" s="348" t="n">
        <f aca="false">YEAR('LT records'!$B53)</f>
        <v>2013</v>
      </c>
      <c r="D53" s="346" t="str">
        <f aca="false">'LT records'!$C53&amp;"-"&amp;MONTH('LT records'!$B53)</f>
        <v>2013-8</v>
      </c>
      <c r="E53" s="324" t="s">
        <v>337</v>
      </c>
      <c r="F53" s="324" t="str">
        <f aca="false">LEFT('LT records'!$E53,3)</f>
        <v>MyF</v>
      </c>
      <c r="G53" s="324" t="str">
        <f aca="false">IF(OR('LT records'!$F53="MyF", 'LT records'!$F53="DEP"),"DEP",IF('LT records'!$F53="CSH","CSH",IF('LT records'!$F53="BON","BND",IF('LT records'!$F53="Sma","MKT",IF(OR('LT records'!$F53="Val", 'LT records'!$F53="EUR"),"FCY",IF('LT records'!$F53="X-P","PP3",IF('LT records'!$F53="X-m","XAU","???")))))))</f>
        <v>DEP</v>
      </c>
      <c r="H53" s="325" t="n">
        <v>0</v>
      </c>
      <c r="I53" s="340" t="n">
        <v>17.12</v>
      </c>
      <c r="J53" s="325"/>
      <c r="K53" s="340"/>
      <c r="L53" s="341" t="s">
        <v>342</v>
      </c>
      <c r="M53" s="342" t="str">
        <f aca="false">YEAR('LT records'!$B53)&amp;"-"&amp;MONTH('LT records'!$B53)</f>
        <v>2013-8</v>
      </c>
      <c r="N53" s="343" t="n">
        <f aca="false">'LT records'!$H53+'LT records'!$I53</f>
        <v>17.12</v>
      </c>
      <c r="O53" s="335"/>
      <c r="P53" s="335"/>
      <c r="Q53" s="336"/>
      <c r="R53" s="337"/>
      <c r="T53" s="327"/>
    </row>
    <row r="54" customFormat="false" ht="12.8" hidden="false" customHeight="false" outlineLevel="0" collapsed="false">
      <c r="B54" s="270" t="n">
        <v>41508</v>
      </c>
      <c r="C54" s="348" t="n">
        <f aca="false">YEAR('LT records'!$B54)</f>
        <v>2013</v>
      </c>
      <c r="D54" s="346" t="str">
        <f aca="false">'LT records'!$C54&amp;"-"&amp;MONTH('LT records'!$B54)</f>
        <v>2013-8</v>
      </c>
      <c r="E54" s="324" t="s">
        <v>340</v>
      </c>
      <c r="F54" s="324" t="str">
        <f aca="false">LEFT('LT records'!$E54,3)</f>
        <v>MyF</v>
      </c>
      <c r="G54" s="324" t="str">
        <f aca="false">IF(OR('LT records'!$F54="MyF", 'LT records'!$F54="DEP"),"DEP",IF('LT records'!$F54="CSH","CSH",IF('LT records'!$F54="BON","BND",IF('LT records'!$F54="Sma","MKT",IF(OR('LT records'!$F54="Val", 'LT records'!$F54="EUR"),"FCY",IF('LT records'!$F54="X-P","PP3",IF('LT records'!$F54="X-m","XAU","???")))))))</f>
        <v>DEP</v>
      </c>
      <c r="H54" s="325" t="n">
        <v>0</v>
      </c>
      <c r="I54" s="340" t="n">
        <v>17.12</v>
      </c>
      <c r="J54" s="325"/>
      <c r="K54" s="340"/>
      <c r="L54" s="341" t="s">
        <v>342</v>
      </c>
      <c r="M54" s="342" t="str">
        <f aca="false">YEAR('LT records'!$B54)&amp;"-"&amp;MONTH('LT records'!$B54)</f>
        <v>2013-8</v>
      </c>
      <c r="N54" s="343" t="n">
        <f aca="false">'LT records'!$H54+'LT records'!$I54</f>
        <v>17.12</v>
      </c>
      <c r="O54" s="347"/>
      <c r="P54" s="347"/>
      <c r="Q54" s="336"/>
      <c r="R54" s="337"/>
      <c r="T54" s="327"/>
    </row>
    <row r="55" customFormat="false" ht="12.8" hidden="false" customHeight="false" outlineLevel="0" collapsed="false">
      <c r="B55" s="270" t="n">
        <v>41508</v>
      </c>
      <c r="C55" s="348" t="n">
        <f aca="false">YEAR('LT records'!$B55)</f>
        <v>2013</v>
      </c>
      <c r="D55" s="346" t="str">
        <f aca="false">'LT records'!$C55&amp;"-"&amp;MONTH('LT records'!$B55)</f>
        <v>2013-8</v>
      </c>
      <c r="E55" s="324" t="s">
        <v>337</v>
      </c>
      <c r="F55" s="324" t="str">
        <f aca="false">LEFT('LT records'!$E55,3)</f>
        <v>MyF</v>
      </c>
      <c r="G55" s="324" t="str">
        <f aca="false">IF(OR('LT records'!$F55="MyF", 'LT records'!$F55="DEP"),"DEP",IF('LT records'!$F55="CSH","CSH",IF('LT records'!$F55="BON","BND",IF('LT records'!$F55="Sma","MKT",IF(OR('LT records'!$F55="Val", 'LT records'!$F55="EUR"),"FCY",IF('LT records'!$F55="X-P","PP3",IF('LT records'!$F55="X-m","XAU","???")))))))</f>
        <v>DEP</v>
      </c>
      <c r="H55" s="325" t="n">
        <v>-17.12</v>
      </c>
      <c r="I55" s="340"/>
      <c r="J55" s="325"/>
      <c r="K55" s="340"/>
      <c r="L55" s="341" t="s">
        <v>354</v>
      </c>
      <c r="M55" s="342" t="str">
        <f aca="false">YEAR('LT records'!$B55)&amp;"-"&amp;MONTH('LT records'!$B55)</f>
        <v>2013-8</v>
      </c>
      <c r="N55" s="343" t="n">
        <f aca="false">'LT records'!$H55+'LT records'!$I55</f>
        <v>-17.12</v>
      </c>
      <c r="O55" s="347"/>
      <c r="P55" s="347"/>
      <c r="Q55" s="336"/>
      <c r="R55" s="337"/>
      <c r="T55" s="327"/>
    </row>
    <row r="56" customFormat="false" ht="12.8" hidden="false" customHeight="false" outlineLevel="0" collapsed="false">
      <c r="B56" s="270" t="n">
        <v>41508</v>
      </c>
      <c r="C56" s="348" t="n">
        <f aca="false">YEAR('LT records'!$B56)</f>
        <v>2013</v>
      </c>
      <c r="D56" s="346" t="str">
        <f aca="false">'LT records'!$C56&amp;"-"&amp;MONTH('LT records'!$B56)</f>
        <v>2013-8</v>
      </c>
      <c r="E56" s="324" t="s">
        <v>340</v>
      </c>
      <c r="F56" s="324" t="str">
        <f aca="false">LEFT('LT records'!$E56,3)</f>
        <v>MyF</v>
      </c>
      <c r="G56" s="324" t="str">
        <f aca="false">IF(OR('LT records'!$F56="MyF", 'LT records'!$F56="DEP"),"DEP",IF('LT records'!$F56="CSH","CSH",IF('LT records'!$F56="BON","BND",IF('LT records'!$F56="Sma","MKT",IF(OR('LT records'!$F56="Val", 'LT records'!$F56="EUR"),"FCY",IF('LT records'!$F56="X-P","PP3",IF('LT records'!$F56="X-m","XAU","???")))))))</f>
        <v>DEP</v>
      </c>
      <c r="H56" s="325" t="n">
        <v>-17.12</v>
      </c>
      <c r="I56" s="340"/>
      <c r="J56" s="325"/>
      <c r="K56" s="340"/>
      <c r="L56" s="341" t="s">
        <v>354</v>
      </c>
      <c r="M56" s="342" t="str">
        <f aca="false">YEAR('LT records'!$B56)&amp;"-"&amp;MONTH('LT records'!$B56)</f>
        <v>2013-8</v>
      </c>
      <c r="N56" s="343" t="n">
        <f aca="false">'LT records'!$H56+'LT records'!$I56</f>
        <v>-17.12</v>
      </c>
      <c r="O56" s="335"/>
      <c r="P56" s="335"/>
      <c r="Q56" s="336"/>
      <c r="R56" s="337"/>
      <c r="T56" s="327"/>
    </row>
    <row r="57" customFormat="false" ht="12.8" hidden="false" customHeight="false" outlineLevel="0" collapsed="false">
      <c r="B57" s="270" t="n">
        <v>41523</v>
      </c>
      <c r="C57" s="348" t="n">
        <f aca="false">YEAR('LT records'!$B57)</f>
        <v>2013</v>
      </c>
      <c r="D57" s="346" t="str">
        <f aca="false">'LT records'!$C57&amp;"-"&amp;MONTH('LT records'!$B57)</f>
        <v>2013-9</v>
      </c>
      <c r="E57" s="324" t="s">
        <v>350</v>
      </c>
      <c r="F57" s="324" t="str">
        <f aca="false">LEFT('LT records'!$E57,3)</f>
        <v>MyF</v>
      </c>
      <c r="G57" s="324" t="str">
        <f aca="false">IF(OR('LT records'!$F57="MyF", 'LT records'!$F57="DEP"),"DEP",IF('LT records'!$F57="CSH","CSH",IF('LT records'!$F57="BON","BND",IF('LT records'!$F57="Sma","MKT",IF(OR('LT records'!$F57="Val", 'LT records'!$F57="EUR"),"FCY",IF('LT records'!$F57="X-P","PP3",IF('LT records'!$F57="X-m","XAU","???")))))))</f>
        <v>DEP</v>
      </c>
      <c r="H57" s="325" t="n">
        <v>0</v>
      </c>
      <c r="I57" s="340" t="n">
        <v>1.71</v>
      </c>
      <c r="J57" s="325"/>
      <c r="K57" s="340"/>
      <c r="L57" s="341" t="s">
        <v>342</v>
      </c>
      <c r="M57" s="342" t="str">
        <f aca="false">YEAR('LT records'!$B57)&amp;"-"&amp;MONTH('LT records'!$B57)</f>
        <v>2013-9</v>
      </c>
      <c r="N57" s="343" t="n">
        <f aca="false">'LT records'!$H57+'LT records'!$I57</f>
        <v>1.71</v>
      </c>
      <c r="O57" s="335"/>
      <c r="P57" s="335"/>
      <c r="Q57" s="336"/>
      <c r="R57" s="337"/>
      <c r="T57" s="327"/>
    </row>
    <row r="58" customFormat="false" ht="12.8" hidden="false" customHeight="false" outlineLevel="0" collapsed="false">
      <c r="B58" s="270" t="n">
        <v>41523</v>
      </c>
      <c r="C58" s="348" t="n">
        <f aca="false">YEAR('LT records'!$B58)</f>
        <v>2013</v>
      </c>
      <c r="D58" s="346" t="str">
        <f aca="false">'LT records'!$C58&amp;"-"&amp;MONTH('LT records'!$B58)</f>
        <v>2013-9</v>
      </c>
      <c r="E58" s="324" t="s">
        <v>350</v>
      </c>
      <c r="F58" s="324" t="str">
        <f aca="false">LEFT('LT records'!$E58,3)</f>
        <v>MyF</v>
      </c>
      <c r="G58" s="324" t="str">
        <f aca="false">IF(OR('LT records'!$F58="MyF", 'LT records'!$F58="DEP"),"DEP",IF('LT records'!$F58="CSH","CSH",IF('LT records'!$F58="BON","BND",IF('LT records'!$F58="Sma","MKT",IF(OR('LT records'!$F58="Val", 'LT records'!$F58="EUR"),"FCY",IF('LT records'!$F58="X-P","PP3",IF('LT records'!$F58="X-m","XAU","???")))))))</f>
        <v>DEP</v>
      </c>
      <c r="H58" s="325" t="n">
        <v>-501.71</v>
      </c>
      <c r="I58" s="340"/>
      <c r="J58" s="325"/>
      <c r="K58" s="340"/>
      <c r="L58" s="341" t="s">
        <v>353</v>
      </c>
      <c r="M58" s="342" t="str">
        <f aca="false">YEAR('LT records'!$B58)&amp;"-"&amp;MONTH('LT records'!$B58)</f>
        <v>2013-9</v>
      </c>
      <c r="N58" s="343" t="n">
        <f aca="false">'LT records'!$H58+'LT records'!$I58</f>
        <v>-501.71</v>
      </c>
      <c r="O58" s="347"/>
      <c r="P58" s="347"/>
      <c r="Q58" s="336"/>
      <c r="R58" s="337"/>
      <c r="T58" s="327"/>
    </row>
    <row r="59" customFormat="false" ht="12.8" hidden="false" customHeight="false" outlineLevel="0" collapsed="false">
      <c r="B59" s="270" t="n">
        <v>41533</v>
      </c>
      <c r="C59" s="348" t="n">
        <f aca="false">YEAR('LT records'!$B59)</f>
        <v>2013</v>
      </c>
      <c r="D59" s="346" t="str">
        <f aca="false">'LT records'!$C59&amp;"-"&amp;MONTH('LT records'!$B59)</f>
        <v>2013-9</v>
      </c>
      <c r="E59" s="324" t="s">
        <v>344</v>
      </c>
      <c r="F59" s="324" t="str">
        <f aca="false">LEFT('LT records'!$E59,3)</f>
        <v>MyF</v>
      </c>
      <c r="G59" s="324" t="str">
        <f aca="false">IF(OR('LT records'!$F59="MyF", 'LT records'!$F59="DEP"),"DEP",IF('LT records'!$F59="CSH","CSH",IF('LT records'!$F59="BON","BND",IF('LT records'!$F59="Sma","MKT",IF(OR('LT records'!$F59="Val", 'LT records'!$F59="EUR"),"FCY",IF('LT records'!$F59="X-P","PP3",IF('LT records'!$F59="X-m","XAU","???")))))))</f>
        <v>DEP</v>
      </c>
      <c r="H59" s="325" t="n">
        <v>0</v>
      </c>
      <c r="I59" s="340" t="n">
        <v>15.69</v>
      </c>
      <c r="J59" s="325"/>
      <c r="K59" s="340"/>
      <c r="L59" s="341" t="s">
        <v>342</v>
      </c>
      <c r="M59" s="342" t="str">
        <f aca="false">YEAR('LT records'!$B59)&amp;"-"&amp;MONTH('LT records'!$B59)</f>
        <v>2013-9</v>
      </c>
      <c r="N59" s="343" t="n">
        <f aca="false">'LT records'!$H59+'LT records'!$I59</f>
        <v>15.69</v>
      </c>
      <c r="O59" s="347"/>
      <c r="P59" s="347"/>
      <c r="Q59" s="336"/>
      <c r="R59" s="337"/>
      <c r="T59" s="327"/>
    </row>
    <row r="60" customFormat="false" ht="12.8" hidden="false" customHeight="false" outlineLevel="0" collapsed="false">
      <c r="B60" s="270" t="n">
        <v>41533</v>
      </c>
      <c r="C60" s="348" t="n">
        <f aca="false">YEAR('LT records'!$B60)</f>
        <v>2013</v>
      </c>
      <c r="D60" s="346" t="str">
        <f aca="false">'LT records'!$C60&amp;"-"&amp;MONTH('LT records'!$B60)</f>
        <v>2013-9</v>
      </c>
      <c r="E60" s="324" t="s">
        <v>344</v>
      </c>
      <c r="F60" s="324" t="str">
        <f aca="false">LEFT('LT records'!$E60,3)</f>
        <v>MyF</v>
      </c>
      <c r="G60" s="324" t="str">
        <f aca="false">IF(OR('LT records'!$F60="MyF", 'LT records'!$F60="DEP"),"DEP",IF('LT records'!$F60="CSH","CSH",IF('LT records'!$F60="BON","BND",IF('LT records'!$F60="Sma","MKT",IF(OR('LT records'!$F60="Val", 'LT records'!$F60="EUR"),"FCY",IF('LT records'!$F60="X-P","PP3",IF('LT records'!$F60="X-m","XAU","???")))))))</f>
        <v>DEP</v>
      </c>
      <c r="H60" s="325" t="n">
        <v>-15.69</v>
      </c>
      <c r="I60" s="340"/>
      <c r="J60" s="325"/>
      <c r="K60" s="340"/>
      <c r="L60" s="341" t="s">
        <v>354</v>
      </c>
      <c r="M60" s="342" t="str">
        <f aca="false">YEAR('LT records'!$B60)&amp;"-"&amp;MONTH('LT records'!$B60)</f>
        <v>2013-9</v>
      </c>
      <c r="N60" s="343" t="n">
        <f aca="false">'LT records'!$H60+'LT records'!$I60</f>
        <v>-15.69</v>
      </c>
      <c r="O60" s="335"/>
      <c r="P60" s="335"/>
      <c r="Q60" s="336"/>
      <c r="R60" s="337"/>
      <c r="T60" s="327"/>
    </row>
    <row r="61" customFormat="false" ht="12.8" hidden="false" customHeight="false" outlineLevel="0" collapsed="false">
      <c r="B61" s="270" t="n">
        <v>41537</v>
      </c>
      <c r="C61" s="348" t="n">
        <f aca="false">YEAR('LT records'!$B61)</f>
        <v>2013</v>
      </c>
      <c r="D61" s="346" t="str">
        <f aca="false">'LT records'!$C61&amp;"-"&amp;MONTH('LT records'!$B61)</f>
        <v>2013-9</v>
      </c>
      <c r="E61" s="324" t="s">
        <v>350</v>
      </c>
      <c r="F61" s="324" t="str">
        <f aca="false">LEFT('LT records'!$E61,3)</f>
        <v>MyF</v>
      </c>
      <c r="G61" s="324" t="str">
        <f aca="false">IF(OR('LT records'!$F61="MyF", 'LT records'!$F61="DEP"),"DEP",IF('LT records'!$F61="CSH","CSH",IF('LT records'!$F61="BON","BND",IF('LT records'!$F61="Sma","MKT",IF(OR('LT records'!$F61="Val", 'LT records'!$F61="EUR"),"FCY",IF('LT records'!$F61="X-P","PP3",IF('LT records'!$F61="X-m","XAU","???")))))))</f>
        <v>DEP</v>
      </c>
      <c r="H61" s="325" t="n">
        <v>1000</v>
      </c>
      <c r="I61" s="340"/>
      <c r="J61" s="325"/>
      <c r="K61" s="340"/>
      <c r="L61" s="341" t="s">
        <v>347</v>
      </c>
      <c r="M61" s="342" t="str">
        <f aca="false">YEAR('LT records'!$B61)&amp;"-"&amp;MONTH('LT records'!$B61)</f>
        <v>2013-9</v>
      </c>
      <c r="N61" s="343" t="n">
        <f aca="false">'LT records'!$H61+'LT records'!$I61</f>
        <v>1000</v>
      </c>
      <c r="O61" s="335"/>
      <c r="P61" s="335"/>
      <c r="Q61" s="336"/>
      <c r="R61" s="337"/>
      <c r="T61" s="327"/>
    </row>
    <row r="62" customFormat="false" ht="12.8" hidden="false" customHeight="false" outlineLevel="0" collapsed="false">
      <c r="B62" s="270" t="n">
        <v>41540</v>
      </c>
      <c r="C62" s="348" t="n">
        <f aca="false">YEAR('LT records'!$B62)</f>
        <v>2013</v>
      </c>
      <c r="D62" s="346" t="str">
        <f aca="false">'LT records'!$C62&amp;"-"&amp;MONTH('LT records'!$B62)</f>
        <v>2013-9</v>
      </c>
      <c r="E62" s="324" t="s">
        <v>337</v>
      </c>
      <c r="F62" s="324" t="str">
        <f aca="false">LEFT('LT records'!$E62,3)</f>
        <v>MyF</v>
      </c>
      <c r="G62" s="324" t="str">
        <f aca="false">IF(OR('LT records'!$F62="MyF", 'LT records'!$F62="DEP"),"DEP",IF('LT records'!$F62="CSH","CSH",IF('LT records'!$F62="BON","BND",IF('LT records'!$F62="Sma","MKT",IF(OR('LT records'!$F62="Val", 'LT records'!$F62="EUR"),"FCY",IF('LT records'!$F62="X-P","PP3",IF('LT records'!$F62="X-m","XAU","???")))))))</f>
        <v>DEP</v>
      </c>
      <c r="H62" s="325" t="n">
        <v>0</v>
      </c>
      <c r="I62" s="340" t="n">
        <v>16.2</v>
      </c>
      <c r="J62" s="325"/>
      <c r="K62" s="340"/>
      <c r="L62" s="341" t="s">
        <v>342</v>
      </c>
      <c r="M62" s="342" t="str">
        <f aca="false">YEAR('LT records'!$B62)&amp;"-"&amp;MONTH('LT records'!$B62)</f>
        <v>2013-9</v>
      </c>
      <c r="N62" s="343" t="n">
        <f aca="false">'LT records'!$H62+'LT records'!$I62</f>
        <v>16.2</v>
      </c>
      <c r="O62" s="347"/>
      <c r="P62" s="347"/>
      <c r="Q62" s="336"/>
      <c r="R62" s="337"/>
      <c r="T62" s="327"/>
    </row>
    <row r="63" customFormat="false" ht="12.8" hidden="false" customHeight="false" outlineLevel="0" collapsed="false">
      <c r="B63" s="270" t="n">
        <v>41540</v>
      </c>
      <c r="C63" s="348" t="n">
        <f aca="false">YEAR('LT records'!$B63)</f>
        <v>2013</v>
      </c>
      <c r="D63" s="346" t="str">
        <f aca="false">'LT records'!$C63&amp;"-"&amp;MONTH('LT records'!$B63)</f>
        <v>2013-9</v>
      </c>
      <c r="E63" s="324" t="s">
        <v>340</v>
      </c>
      <c r="F63" s="324" t="str">
        <f aca="false">LEFT('LT records'!$E63,3)</f>
        <v>MyF</v>
      </c>
      <c r="G63" s="324" t="str">
        <f aca="false">IF(OR('LT records'!$F63="MyF", 'LT records'!$F63="DEP"),"DEP",IF('LT records'!$F63="CSH","CSH",IF('LT records'!$F63="BON","BND",IF('LT records'!$F63="Sma","MKT",IF(OR('LT records'!$F63="Val", 'LT records'!$F63="EUR"),"FCY",IF('LT records'!$F63="X-P","PP3",IF('LT records'!$F63="X-m","XAU","???")))))))</f>
        <v>DEP</v>
      </c>
      <c r="H63" s="325" t="n">
        <v>0</v>
      </c>
      <c r="I63" s="340" t="n">
        <v>16.2</v>
      </c>
      <c r="J63" s="325"/>
      <c r="K63" s="340"/>
      <c r="L63" s="341" t="s">
        <v>342</v>
      </c>
      <c r="M63" s="342" t="str">
        <f aca="false">YEAR('LT records'!$B63)&amp;"-"&amp;MONTH('LT records'!$B63)</f>
        <v>2013-9</v>
      </c>
      <c r="N63" s="343" t="n">
        <f aca="false">'LT records'!$H63+'LT records'!$I63</f>
        <v>16.2</v>
      </c>
      <c r="O63" s="347"/>
      <c r="P63" s="347"/>
      <c r="Q63" s="336"/>
      <c r="R63" s="337"/>
      <c r="T63" s="327"/>
    </row>
    <row r="64" customFormat="false" ht="12.8" hidden="false" customHeight="false" outlineLevel="0" collapsed="false">
      <c r="B64" s="270" t="n">
        <v>41542</v>
      </c>
      <c r="C64" s="348" t="n">
        <f aca="false">YEAR('LT records'!$B64)</f>
        <v>2013</v>
      </c>
      <c r="D64" s="346" t="str">
        <f aca="false">'LT records'!$C64&amp;"-"&amp;MONTH('LT records'!$B64)</f>
        <v>2013-9</v>
      </c>
      <c r="E64" s="324" t="s">
        <v>337</v>
      </c>
      <c r="F64" s="324" t="str">
        <f aca="false">LEFT('LT records'!$E64,3)</f>
        <v>MyF</v>
      </c>
      <c r="G64" s="324" t="str">
        <f aca="false">IF(OR('LT records'!$F64="MyF", 'LT records'!$F64="DEP"),"DEP",IF('LT records'!$F64="CSH","CSH",IF('LT records'!$F64="BON","BND",IF('LT records'!$F64="Sma","MKT",IF(OR('LT records'!$F64="Val", 'LT records'!$F64="EUR"),"FCY",IF('LT records'!$F64="X-P","PP3",IF('LT records'!$F64="X-m","XAU","???")))))))</f>
        <v>DEP</v>
      </c>
      <c r="H64" s="325" t="n">
        <v>-16.2</v>
      </c>
      <c r="I64" s="340"/>
      <c r="J64" s="325"/>
      <c r="K64" s="340"/>
      <c r="L64" s="341" t="s">
        <v>354</v>
      </c>
      <c r="M64" s="342" t="str">
        <f aca="false">YEAR('LT records'!$B64)&amp;"-"&amp;MONTH('LT records'!$B64)</f>
        <v>2013-9</v>
      </c>
      <c r="N64" s="343" t="n">
        <f aca="false">'LT records'!$H64+'LT records'!$I64</f>
        <v>-16.2</v>
      </c>
      <c r="O64" s="347"/>
      <c r="P64" s="347"/>
      <c r="Q64" s="336"/>
      <c r="R64" s="337"/>
      <c r="T64" s="327"/>
    </row>
    <row r="65" customFormat="false" ht="12.8" hidden="false" customHeight="false" outlineLevel="0" collapsed="false">
      <c r="B65" s="270" t="n">
        <v>41542</v>
      </c>
      <c r="C65" s="348" t="n">
        <f aca="false">YEAR('LT records'!$B65)</f>
        <v>2013</v>
      </c>
      <c r="D65" s="346" t="str">
        <f aca="false">'LT records'!$C65&amp;"-"&amp;MONTH('LT records'!$B65)</f>
        <v>2013-9</v>
      </c>
      <c r="E65" s="324" t="s">
        <v>340</v>
      </c>
      <c r="F65" s="324" t="str">
        <f aca="false">LEFT('LT records'!$E65,3)</f>
        <v>MyF</v>
      </c>
      <c r="G65" s="324" t="str">
        <f aca="false">IF(OR('LT records'!$F65="MyF", 'LT records'!$F65="DEP"),"DEP",IF('LT records'!$F65="CSH","CSH",IF('LT records'!$F65="BON","BND",IF('LT records'!$F65="Sma","MKT",IF(OR('LT records'!$F65="Val", 'LT records'!$F65="EUR"),"FCY",IF('LT records'!$F65="X-P","PP3",IF('LT records'!$F65="X-m","XAU","???")))))))</f>
        <v>DEP</v>
      </c>
      <c r="H65" s="325" t="n">
        <v>-16.2</v>
      </c>
      <c r="I65" s="340"/>
      <c r="J65" s="325"/>
      <c r="K65" s="340"/>
      <c r="L65" s="341" t="s">
        <v>354</v>
      </c>
      <c r="M65" s="342" t="str">
        <f aca="false">YEAR('LT records'!$B65)&amp;"-"&amp;MONTH('LT records'!$B65)</f>
        <v>2013-9</v>
      </c>
      <c r="N65" s="343" t="n">
        <f aca="false">'LT records'!$H65+'LT records'!$I65</f>
        <v>-16.2</v>
      </c>
      <c r="O65" s="347"/>
      <c r="P65" s="347"/>
      <c r="Q65" s="336"/>
      <c r="R65" s="337"/>
      <c r="T65" s="327"/>
    </row>
    <row r="66" customFormat="false" ht="12.8" hidden="false" customHeight="false" outlineLevel="0" collapsed="false">
      <c r="B66" s="270" t="n">
        <v>41543</v>
      </c>
      <c r="C66" s="348" t="n">
        <f aca="false">YEAR('LT records'!$B66)</f>
        <v>2013</v>
      </c>
      <c r="D66" s="346" t="str">
        <f aca="false">'LT records'!$C66&amp;"-"&amp;MONTH('LT records'!$B66)</f>
        <v>2013-9</v>
      </c>
      <c r="E66" s="324" t="s">
        <v>350</v>
      </c>
      <c r="F66" s="324" t="str">
        <f aca="false">LEFT('LT records'!$E66,3)</f>
        <v>MyF</v>
      </c>
      <c r="G66" s="324" t="str">
        <f aca="false">IF(OR('LT records'!$F66="MyF", 'LT records'!$F66="DEP"),"DEP",IF('LT records'!$F66="CSH","CSH",IF('LT records'!$F66="BON","BND",IF('LT records'!$F66="Sma","MKT",IF(OR('LT records'!$F66="Val", 'LT records'!$F66="EUR"),"FCY",IF('LT records'!$F66="X-P","PP3",IF('LT records'!$F66="X-m","XAU","???")))))))</f>
        <v>DEP</v>
      </c>
      <c r="H66" s="325" t="n">
        <v>-1000</v>
      </c>
      <c r="I66" s="340"/>
      <c r="J66" s="325"/>
      <c r="K66" s="340"/>
      <c r="L66" s="341" t="s">
        <v>354</v>
      </c>
      <c r="M66" s="342" t="str">
        <f aca="false">YEAR('LT records'!$B66)&amp;"-"&amp;MONTH('LT records'!$B66)</f>
        <v>2013-9</v>
      </c>
      <c r="N66" s="343" t="n">
        <f aca="false">'LT records'!$H66+'LT records'!$I66</f>
        <v>-1000</v>
      </c>
      <c r="O66" s="335"/>
      <c r="P66" s="335"/>
      <c r="Q66" s="336"/>
      <c r="R66" s="337"/>
      <c r="T66" s="327"/>
    </row>
    <row r="67" customFormat="false" ht="12.8" hidden="false" customHeight="false" outlineLevel="0" collapsed="false">
      <c r="B67" s="270" t="n">
        <v>41533</v>
      </c>
      <c r="C67" s="348" t="n">
        <f aca="false">YEAR('LT records'!$B67)</f>
        <v>2013</v>
      </c>
      <c r="D67" s="346" t="str">
        <f aca="false">'LT records'!$C67&amp;"-"&amp;MONTH('LT records'!$B67)</f>
        <v>2013-9</v>
      </c>
      <c r="E67" s="324" t="s">
        <v>344</v>
      </c>
      <c r="F67" s="324" t="str">
        <f aca="false">LEFT('LT records'!$E67,3)</f>
        <v>MyF</v>
      </c>
      <c r="G67" s="324" t="str">
        <f aca="false">IF(OR('LT records'!$F67="MyF", 'LT records'!$F67="DEP"),"DEP",IF('LT records'!$F67="CSH","CSH",IF('LT records'!$F67="BON","BND",IF('LT records'!$F67="Sma","MKT",IF(OR('LT records'!$F67="Val", 'LT records'!$F67="EUR"),"FCY",IF('LT records'!$F67="X-P","PP3",IF('LT records'!$F67="X-m","XAU","???")))))))</f>
        <v>DEP</v>
      </c>
      <c r="H67" s="325" t="n">
        <v>-15.19</v>
      </c>
      <c r="I67" s="340" t="n">
        <v>15.19</v>
      </c>
      <c r="J67" s="325"/>
      <c r="K67" s="340"/>
      <c r="L67" s="341" t="s">
        <v>342</v>
      </c>
      <c r="M67" s="342" t="str">
        <f aca="false">YEAR('LT records'!$B67)&amp;"-"&amp;MONTH('LT records'!$B67)</f>
        <v>2013-9</v>
      </c>
      <c r="N67" s="343" t="n">
        <f aca="false">'LT records'!$H67+'LT records'!$I67</f>
        <v>0</v>
      </c>
      <c r="O67" s="335"/>
      <c r="P67" s="335"/>
      <c r="Q67" s="336"/>
      <c r="R67" s="337"/>
      <c r="T67" s="327"/>
    </row>
    <row r="68" customFormat="false" ht="12.8" hidden="false" customHeight="false" outlineLevel="0" collapsed="false">
      <c r="B68" s="270" t="n">
        <v>41570</v>
      </c>
      <c r="C68" s="348" t="n">
        <f aca="false">YEAR('LT records'!$B68)</f>
        <v>2013</v>
      </c>
      <c r="D68" s="346" t="str">
        <f aca="false">'LT records'!$C68&amp;"-"&amp;MONTH('LT records'!$B68)</f>
        <v>2013-10</v>
      </c>
      <c r="E68" s="324" t="s">
        <v>337</v>
      </c>
      <c r="F68" s="324" t="str">
        <f aca="false">LEFT('LT records'!$E68,3)</f>
        <v>MyF</v>
      </c>
      <c r="G68" s="324" t="str">
        <f aca="false">IF(OR('LT records'!$F68="MyF", 'LT records'!$F68="DEP"),"DEP",IF('LT records'!$F68="CSH","CSH",IF('LT records'!$F68="BON","BND",IF('LT records'!$F68="Sma","MKT",IF(OR('LT records'!$F68="Val", 'LT records'!$F68="EUR"),"FCY",IF('LT records'!$F68="X-P","PP3",IF('LT records'!$F68="X-m","XAU","???")))))))</f>
        <v>DEP</v>
      </c>
      <c r="H68" s="325" t="n">
        <v>-15.19</v>
      </c>
      <c r="I68" s="340" t="n">
        <v>15.19</v>
      </c>
      <c r="J68" s="325"/>
      <c r="K68" s="340"/>
      <c r="L68" s="341" t="s">
        <v>342</v>
      </c>
      <c r="M68" s="342" t="str">
        <f aca="false">YEAR('LT records'!$B68)&amp;"-"&amp;MONTH('LT records'!$B68)</f>
        <v>2013-10</v>
      </c>
      <c r="N68" s="343" t="n">
        <f aca="false">'LT records'!$H68+'LT records'!$I68</f>
        <v>0</v>
      </c>
      <c r="O68" s="335"/>
      <c r="P68" s="335"/>
      <c r="Q68" s="336"/>
      <c r="R68" s="337"/>
      <c r="T68" s="327"/>
    </row>
    <row r="69" customFormat="false" ht="12.8" hidden="false" customHeight="false" outlineLevel="0" collapsed="false">
      <c r="B69" s="270" t="n">
        <v>41570</v>
      </c>
      <c r="C69" s="348" t="n">
        <f aca="false">YEAR('LT records'!$B69)</f>
        <v>2013</v>
      </c>
      <c r="D69" s="346" t="str">
        <f aca="false">'LT records'!$C69&amp;"-"&amp;MONTH('LT records'!$B69)</f>
        <v>2013-10</v>
      </c>
      <c r="E69" s="324" t="s">
        <v>340</v>
      </c>
      <c r="F69" s="324" t="str">
        <f aca="false">LEFT('LT records'!$E69,3)</f>
        <v>MyF</v>
      </c>
      <c r="G69" s="324" t="str">
        <f aca="false">IF(OR('LT records'!$F69="MyF", 'LT records'!$F69="DEP"),"DEP",IF('LT records'!$F69="CSH","CSH",IF('LT records'!$F69="BON","BND",IF('LT records'!$F69="Sma","MKT",IF(OR('LT records'!$F69="Val", 'LT records'!$F69="EUR"),"FCY",IF('LT records'!$F69="X-P","PP3",IF('LT records'!$F69="X-m","XAU","???")))))))</f>
        <v>DEP</v>
      </c>
      <c r="H69" s="325" t="n">
        <v>-15.19</v>
      </c>
      <c r="I69" s="340" t="n">
        <v>15.19</v>
      </c>
      <c r="J69" s="325"/>
      <c r="K69" s="340"/>
      <c r="L69" s="341" t="s">
        <v>342</v>
      </c>
      <c r="M69" s="342" t="str">
        <f aca="false">YEAR('LT records'!$B69)&amp;"-"&amp;MONTH('LT records'!$B69)</f>
        <v>2013-10</v>
      </c>
      <c r="N69" s="343" t="n">
        <f aca="false">'LT records'!$H69+'LT records'!$I69</f>
        <v>0</v>
      </c>
      <c r="O69" s="335"/>
      <c r="P69" s="335"/>
      <c r="Q69" s="336"/>
      <c r="R69" s="337"/>
      <c r="T69" s="327"/>
    </row>
    <row r="70" customFormat="false" ht="12.8" hidden="false" customHeight="false" outlineLevel="0" collapsed="false">
      <c r="B70" s="270" t="n">
        <v>41596</v>
      </c>
      <c r="C70" s="348" t="n">
        <f aca="false">YEAR('LT records'!$B70)</f>
        <v>2013</v>
      </c>
      <c r="D70" s="346" t="str">
        <f aca="false">'LT records'!$C70&amp;"-"&amp;MONTH('LT records'!$B70)</f>
        <v>2013-11</v>
      </c>
      <c r="E70" s="324" t="s">
        <v>344</v>
      </c>
      <c r="F70" s="324" t="str">
        <f aca="false">LEFT('LT records'!$E70,3)</f>
        <v>MyF</v>
      </c>
      <c r="G70" s="324" t="str">
        <f aca="false">IF(OR('LT records'!$F70="MyF", 'LT records'!$F70="DEP"),"DEP",IF('LT records'!$F70="CSH","CSH",IF('LT records'!$F70="BON","BND",IF('LT records'!$F70="Sma","MKT",IF(OR('LT records'!$F70="Val", 'LT records'!$F70="EUR"),"FCY",IF('LT records'!$F70="X-P","PP3",IF('LT records'!$F70="X-m","XAU","???")))))))</f>
        <v>DEP</v>
      </c>
      <c r="H70" s="325" t="n">
        <v>-15.57</v>
      </c>
      <c r="I70" s="340" t="n">
        <v>15.57</v>
      </c>
      <c r="J70" s="325"/>
      <c r="K70" s="340"/>
      <c r="L70" s="341" t="s">
        <v>342</v>
      </c>
      <c r="M70" s="342" t="str">
        <f aca="false">YEAR('LT records'!$B70)&amp;"-"&amp;MONTH('LT records'!$B70)</f>
        <v>2013-11</v>
      </c>
      <c r="N70" s="343" t="n">
        <f aca="false">'LT records'!$H70+'LT records'!$I70</f>
        <v>0</v>
      </c>
      <c r="O70" s="335"/>
      <c r="P70" s="335"/>
      <c r="Q70" s="336"/>
      <c r="R70" s="337"/>
      <c r="T70" s="327"/>
    </row>
    <row r="71" customFormat="false" ht="12.8" hidden="false" customHeight="false" outlineLevel="0" collapsed="false">
      <c r="B71" s="270" t="n">
        <v>41596</v>
      </c>
      <c r="C71" s="348" t="n">
        <f aca="false">YEAR('LT records'!$B71)</f>
        <v>2013</v>
      </c>
      <c r="D71" s="346" t="str">
        <f aca="false">'LT records'!$C71&amp;"-"&amp;MONTH('LT records'!$B71)</f>
        <v>2013-11</v>
      </c>
      <c r="E71" s="324" t="s">
        <v>350</v>
      </c>
      <c r="F71" s="324" t="str">
        <f aca="false">LEFT('LT records'!$E71,3)</f>
        <v>MyF</v>
      </c>
      <c r="G71" s="324" t="str">
        <f aca="false">IF(OR('LT records'!$F71="MyF", 'LT records'!$F71="DEP"),"DEP",IF('LT records'!$F71="CSH","CSH",IF('LT records'!$F71="BON","BND",IF('LT records'!$F71="Sma","MKT",IF(OR('LT records'!$F71="Val", 'LT records'!$F71="EUR"),"FCY",IF('LT records'!$F71="X-P","PP3",IF('LT records'!$F71="X-m","XAU","???")))))))</f>
        <v>DEP</v>
      </c>
      <c r="H71" s="325" t="n">
        <v>1000</v>
      </c>
      <c r="I71" s="340"/>
      <c r="J71" s="325"/>
      <c r="K71" s="340"/>
      <c r="L71" s="341" t="s">
        <v>349</v>
      </c>
      <c r="M71" s="342" t="str">
        <f aca="false">YEAR('LT records'!$B71)&amp;"-"&amp;MONTH('LT records'!$B71)</f>
        <v>2013-11</v>
      </c>
      <c r="N71" s="343" t="n">
        <f aca="false">'LT records'!$H71+'LT records'!$I71</f>
        <v>1000</v>
      </c>
      <c r="O71" s="335"/>
      <c r="P71" s="335"/>
      <c r="Q71" s="336"/>
      <c r="R71" s="337"/>
      <c r="T71" s="327"/>
    </row>
    <row r="72" customFormat="false" ht="12.8" hidden="false" customHeight="false" outlineLevel="0" collapsed="false">
      <c r="B72" s="270" t="n">
        <v>41603</v>
      </c>
      <c r="C72" s="348" t="n">
        <f aca="false">YEAR('LT records'!$B72)</f>
        <v>2013</v>
      </c>
      <c r="D72" s="346" t="str">
        <f aca="false">'LT records'!$C72&amp;"-"&amp;MONTH('LT records'!$B72)</f>
        <v>2013-11</v>
      </c>
      <c r="E72" s="324" t="s">
        <v>337</v>
      </c>
      <c r="F72" s="324" t="str">
        <f aca="false">LEFT('LT records'!$E72,3)</f>
        <v>MyF</v>
      </c>
      <c r="G72" s="324" t="str">
        <f aca="false">IF(OR('LT records'!$F72="MyF", 'LT records'!$F72="DEP"),"DEP",IF('LT records'!$F72="CSH","CSH",IF('LT records'!$F72="BON","BND",IF('LT records'!$F72="Sma","MKT",IF(OR('LT records'!$F72="Val", 'LT records'!$F72="EUR"),"FCY",IF('LT records'!$F72="X-P","PP3",IF('LT records'!$F72="X-m","XAU","???")))))))</f>
        <v>DEP</v>
      </c>
      <c r="H72" s="325" t="n">
        <v>-15.57</v>
      </c>
      <c r="I72" s="340" t="n">
        <v>15.57</v>
      </c>
      <c r="J72" s="325"/>
      <c r="K72" s="340"/>
      <c r="L72" s="341" t="s">
        <v>342</v>
      </c>
      <c r="M72" s="342" t="str">
        <f aca="false">YEAR('LT records'!$B72)&amp;"-"&amp;MONTH('LT records'!$B72)</f>
        <v>2013-11</v>
      </c>
      <c r="N72" s="343" t="n">
        <f aca="false">'LT records'!$H72+'LT records'!$I72</f>
        <v>0</v>
      </c>
      <c r="O72" s="335"/>
      <c r="P72" s="335"/>
      <c r="Q72" s="336"/>
      <c r="R72" s="337"/>
      <c r="T72" s="327"/>
    </row>
    <row r="73" customFormat="false" ht="12.8" hidden="false" customHeight="false" outlineLevel="0" collapsed="false">
      <c r="B73" s="270" t="n">
        <v>41603</v>
      </c>
      <c r="C73" s="348" t="n">
        <f aca="false">YEAR('LT records'!$B73)</f>
        <v>2013</v>
      </c>
      <c r="D73" s="346" t="str">
        <f aca="false">'LT records'!$C73&amp;"-"&amp;MONTH('LT records'!$B73)</f>
        <v>2013-11</v>
      </c>
      <c r="E73" s="324" t="s">
        <v>340</v>
      </c>
      <c r="F73" s="324" t="str">
        <f aca="false">LEFT('LT records'!$E73,3)</f>
        <v>MyF</v>
      </c>
      <c r="G73" s="324" t="str">
        <f aca="false">IF(OR('LT records'!$F73="MyF", 'LT records'!$F73="DEP"),"DEP",IF('LT records'!$F73="CSH","CSH",IF('LT records'!$F73="BON","BND",IF('LT records'!$F73="Sma","MKT",IF(OR('LT records'!$F73="Val", 'LT records'!$F73="EUR"),"FCY",IF('LT records'!$F73="X-P","PP3",IF('LT records'!$F73="X-m","XAU","???")))))))</f>
        <v>DEP</v>
      </c>
      <c r="H73" s="325" t="n">
        <v>-15.57</v>
      </c>
      <c r="I73" s="340" t="n">
        <v>15.57</v>
      </c>
      <c r="J73" s="325"/>
      <c r="K73" s="340"/>
      <c r="L73" s="341" t="s">
        <v>342</v>
      </c>
      <c r="M73" s="342" t="str">
        <f aca="false">YEAR('LT records'!$B73)&amp;"-"&amp;MONTH('LT records'!$B73)</f>
        <v>2013-11</v>
      </c>
      <c r="N73" s="343" t="n">
        <f aca="false">'LT records'!$H73+'LT records'!$I73</f>
        <v>0</v>
      </c>
      <c r="O73" s="347"/>
      <c r="P73" s="347"/>
      <c r="Q73" s="336"/>
      <c r="R73" s="337"/>
      <c r="T73" s="327"/>
    </row>
    <row r="74" customFormat="false" ht="12.8" hidden="false" customHeight="false" outlineLevel="0" collapsed="false">
      <c r="B74" s="270" t="n">
        <v>41626</v>
      </c>
      <c r="C74" s="348" t="n">
        <f aca="false">YEAR('LT records'!$B74)</f>
        <v>2013</v>
      </c>
      <c r="D74" s="346" t="str">
        <f aca="false">'LT records'!$C74&amp;"-"&amp;MONTH('LT records'!$B74)</f>
        <v>2013-12</v>
      </c>
      <c r="E74" s="324" t="s">
        <v>344</v>
      </c>
      <c r="F74" s="324" t="str">
        <f aca="false">LEFT('LT records'!$E74,3)</f>
        <v>MyF</v>
      </c>
      <c r="G74" s="324" t="str">
        <f aca="false">IF(OR('LT records'!$F74="MyF", 'LT records'!$F74="DEP"),"DEP",IF('LT records'!$F74="CSH","CSH",IF('LT records'!$F74="BON","BND",IF('LT records'!$F74="Sma","MKT",IF(OR('LT records'!$F74="Val", 'LT records'!$F74="EUR"),"FCY",IF('LT records'!$F74="X-P","PP3",IF('LT records'!$F74="X-m","XAU","???")))))))</f>
        <v>DEP</v>
      </c>
      <c r="H74" s="325" t="n">
        <v>-14.15</v>
      </c>
      <c r="I74" s="340" t="n">
        <v>14.15</v>
      </c>
      <c r="J74" s="325"/>
      <c r="K74" s="340"/>
      <c r="L74" s="341" t="s">
        <v>342</v>
      </c>
      <c r="M74" s="342" t="str">
        <f aca="false">YEAR('LT records'!$B74)&amp;"-"&amp;MONTH('LT records'!$B74)</f>
        <v>2013-12</v>
      </c>
      <c r="N74" s="343" t="n">
        <f aca="false">'LT records'!$H74+'LT records'!$I74</f>
        <v>0</v>
      </c>
      <c r="O74" s="335"/>
      <c r="P74" s="335"/>
      <c r="Q74" s="336"/>
      <c r="R74" s="337"/>
      <c r="T74" s="327"/>
    </row>
    <row r="75" customFormat="false" ht="12.8" hidden="false" customHeight="false" outlineLevel="0" collapsed="false">
      <c r="B75" s="270" t="n">
        <v>41626</v>
      </c>
      <c r="C75" s="348" t="n">
        <f aca="false">YEAR('LT records'!$B75)</f>
        <v>2013</v>
      </c>
      <c r="D75" s="346" t="str">
        <f aca="false">'LT records'!$C75&amp;"-"&amp;MONTH('LT records'!$B75)</f>
        <v>2013-12</v>
      </c>
      <c r="E75" s="324" t="s">
        <v>350</v>
      </c>
      <c r="F75" s="324" t="str">
        <f aca="false">LEFT('LT records'!$E75,3)</f>
        <v>MyF</v>
      </c>
      <c r="G75" s="324" t="str">
        <f aca="false">IF(OR('LT records'!$F75="MyF", 'LT records'!$F75="DEP"),"DEP",IF('LT records'!$F75="CSH","CSH",IF('LT records'!$F75="BON","BND",IF('LT records'!$F75="Sma","MKT",IF(OR('LT records'!$F75="Val", 'LT records'!$F75="EUR"),"FCY",IF('LT records'!$F75="X-P","PP3",IF('LT records'!$F75="X-m","XAU","???")))))))</f>
        <v>DEP</v>
      </c>
      <c r="H75" s="325" t="n">
        <v>997.17</v>
      </c>
      <c r="I75" s="340" t="n">
        <v>2.83</v>
      </c>
      <c r="J75" s="325"/>
      <c r="K75" s="340"/>
      <c r="L75" s="341" t="s">
        <v>342</v>
      </c>
      <c r="M75" s="342" t="str">
        <f aca="false">YEAR('LT records'!$B75)&amp;"-"&amp;MONTH('LT records'!$B75)</f>
        <v>2013-12</v>
      </c>
      <c r="N75" s="343" t="n">
        <f aca="false">'LT records'!$H75+'LT records'!$I75</f>
        <v>1000</v>
      </c>
      <c r="O75" s="335"/>
      <c r="P75" s="335"/>
      <c r="Q75" s="336"/>
      <c r="R75" s="337"/>
      <c r="T75" s="327"/>
    </row>
    <row r="76" customFormat="false" ht="12.8" hidden="false" customHeight="false" outlineLevel="0" collapsed="false">
      <c r="B76" s="270" t="n">
        <v>41635</v>
      </c>
      <c r="C76" s="348" t="n">
        <f aca="false">YEAR('LT records'!$B76)</f>
        <v>2013</v>
      </c>
      <c r="D76" s="346" t="str">
        <f aca="false">'LT records'!$C76&amp;"-"&amp;MONTH('LT records'!$B76)</f>
        <v>2013-12</v>
      </c>
      <c r="E76" s="324" t="s">
        <v>337</v>
      </c>
      <c r="F76" s="324" t="str">
        <f aca="false">LEFT('LT records'!$E76,3)</f>
        <v>MyF</v>
      </c>
      <c r="G76" s="324" t="str">
        <f aca="false">IF(OR('LT records'!$F76="MyF", 'LT records'!$F76="DEP"),"DEP",IF('LT records'!$F76="CSH","CSH",IF('LT records'!$F76="BON","BND",IF('LT records'!$F76="Sma","MKT",IF(OR('LT records'!$F76="Val", 'LT records'!$F76="EUR"),"FCY",IF('LT records'!$F76="X-P","PP3",IF('LT records'!$F76="X-m","XAU","???")))))))</f>
        <v>DEP</v>
      </c>
      <c r="H76" s="325" t="n">
        <v>-13.99</v>
      </c>
      <c r="I76" s="340" t="n">
        <v>13.99</v>
      </c>
      <c r="J76" s="325"/>
      <c r="K76" s="340"/>
      <c r="L76" s="341" t="s">
        <v>342</v>
      </c>
      <c r="M76" s="342" t="str">
        <f aca="false">YEAR('LT records'!$B76)&amp;"-"&amp;MONTH('LT records'!$B76)</f>
        <v>2013-12</v>
      </c>
      <c r="N76" s="343" t="n">
        <f aca="false">'LT records'!$H76+'LT records'!$I76</f>
        <v>0</v>
      </c>
      <c r="O76" s="335"/>
      <c r="P76" s="335"/>
      <c r="Q76" s="336"/>
      <c r="R76" s="337"/>
      <c r="T76" s="327"/>
    </row>
    <row r="77" customFormat="false" ht="12.8" hidden="false" customHeight="false" outlineLevel="0" collapsed="false">
      <c r="B77" s="270" t="n">
        <v>41635</v>
      </c>
      <c r="C77" s="348" t="n">
        <f aca="false">YEAR('LT records'!$B77)</f>
        <v>2013</v>
      </c>
      <c r="D77" s="346" t="str">
        <f aca="false">'LT records'!$C77&amp;"-"&amp;MONTH('LT records'!$B77)</f>
        <v>2013-12</v>
      </c>
      <c r="E77" s="324" t="s">
        <v>340</v>
      </c>
      <c r="F77" s="324" t="str">
        <f aca="false">LEFT('LT records'!$E77,3)</f>
        <v>MyF</v>
      </c>
      <c r="G77" s="324" t="str">
        <f aca="false">IF(OR('LT records'!$F77="MyF", 'LT records'!$F77="DEP"),"DEP",IF('LT records'!$F77="CSH","CSH",IF('LT records'!$F77="BON","BND",IF('LT records'!$F77="Sma","MKT",IF(OR('LT records'!$F77="Val", 'LT records'!$F77="EUR"),"FCY",IF('LT records'!$F77="X-P","PP3",IF('LT records'!$F77="X-m","XAU","???")))))))</f>
        <v>DEP</v>
      </c>
      <c r="H77" s="325" t="n">
        <v>-13.99</v>
      </c>
      <c r="I77" s="340" t="n">
        <v>13.99</v>
      </c>
      <c r="J77" s="325"/>
      <c r="K77" s="340"/>
      <c r="L77" s="341" t="s">
        <v>342</v>
      </c>
      <c r="M77" s="342" t="str">
        <f aca="false">YEAR('LT records'!$B77)&amp;"-"&amp;MONTH('LT records'!$B77)</f>
        <v>2013-12</v>
      </c>
      <c r="N77" s="343" t="n">
        <f aca="false">'LT records'!$H77+'LT records'!$I77</f>
        <v>0</v>
      </c>
      <c r="O77" s="335"/>
      <c r="P77" s="335"/>
      <c r="Q77" s="336"/>
      <c r="R77" s="337"/>
      <c r="T77" s="327"/>
    </row>
    <row r="78" customFormat="false" ht="12.8" hidden="false" customHeight="false" outlineLevel="0" collapsed="false">
      <c r="B78" s="270" t="n">
        <v>41659</v>
      </c>
      <c r="C78" s="348" t="n">
        <f aca="false">YEAR('LT records'!$B78)</f>
        <v>2014</v>
      </c>
      <c r="D78" s="346" t="str">
        <f aca="false">'LT records'!$C78&amp;"-"&amp;MONTH('LT records'!$B78)</f>
        <v>2014-1</v>
      </c>
      <c r="E78" s="324" t="s">
        <v>344</v>
      </c>
      <c r="F78" s="324" t="str">
        <f aca="false">LEFT('LT records'!$E78,3)</f>
        <v>MyF</v>
      </c>
      <c r="G78" s="324" t="str">
        <f aca="false">IF(OR('LT records'!$F78="MyF", 'LT records'!$F78="DEP"),"DEP",IF('LT records'!$F78="CSH","CSH",IF('LT records'!$F78="BON","BND",IF('LT records'!$F78="Sma","MKT",IF(OR('LT records'!$F78="Val", 'LT records'!$F78="EUR"),"FCY",IF('LT records'!$F78="X-P","PP3",IF('LT records'!$F78="X-m","XAU","???")))))))</f>
        <v>DEP</v>
      </c>
      <c r="H78" s="325" t="n">
        <v>-14.43</v>
      </c>
      <c r="I78" s="340" t="n">
        <v>14.43</v>
      </c>
      <c r="J78" s="325"/>
      <c r="K78" s="340"/>
      <c r="L78" s="341" t="s">
        <v>342</v>
      </c>
      <c r="M78" s="342" t="str">
        <f aca="false">YEAR('LT records'!$B78)&amp;"-"&amp;MONTH('LT records'!$B78)</f>
        <v>2014-1</v>
      </c>
      <c r="N78" s="343" t="n">
        <f aca="false">'LT records'!$H78+'LT records'!$I78</f>
        <v>0</v>
      </c>
      <c r="O78" s="335"/>
      <c r="P78" s="335"/>
      <c r="Q78" s="336"/>
      <c r="R78" s="337"/>
      <c r="T78" s="327"/>
    </row>
    <row r="79" customFormat="false" ht="12.8" hidden="false" customHeight="false" outlineLevel="0" collapsed="false">
      <c r="B79" s="270" t="n">
        <v>41659</v>
      </c>
      <c r="C79" s="348" t="n">
        <f aca="false">YEAR('LT records'!$B79)</f>
        <v>2014</v>
      </c>
      <c r="D79" s="346" t="str">
        <f aca="false">'LT records'!$C79&amp;"-"&amp;MONTH('LT records'!$B79)</f>
        <v>2014-1</v>
      </c>
      <c r="E79" s="324" t="s">
        <v>350</v>
      </c>
      <c r="F79" s="324" t="str">
        <f aca="false">LEFT('LT records'!$E79,3)</f>
        <v>MyF</v>
      </c>
      <c r="G79" s="324" t="str">
        <f aca="false">IF(OR('LT records'!$F79="MyF", 'LT records'!$F79="DEP"),"DEP",IF('LT records'!$F79="CSH","CSH",IF('LT records'!$F79="BON","BND",IF('LT records'!$F79="Sma","MKT",IF(OR('LT records'!$F79="Val", 'LT records'!$F79="EUR"),"FCY",IF('LT records'!$F79="X-P","PP3",IF('LT records'!$F79="X-m","XAU","???")))))))</f>
        <v>DEP</v>
      </c>
      <c r="H79" s="325" t="n">
        <v>994.23</v>
      </c>
      <c r="I79" s="340" t="n">
        <v>5.77</v>
      </c>
      <c r="J79" s="325"/>
      <c r="K79" s="340"/>
      <c r="L79" s="341" t="s">
        <v>347</v>
      </c>
      <c r="M79" s="342" t="str">
        <f aca="false">YEAR('LT records'!$B79)&amp;"-"&amp;MONTH('LT records'!$B79)</f>
        <v>2014-1</v>
      </c>
      <c r="N79" s="343" t="n">
        <f aca="false">'LT records'!$H79+'LT records'!$I79</f>
        <v>1000</v>
      </c>
      <c r="O79" s="335"/>
      <c r="P79" s="335"/>
      <c r="Q79" s="336"/>
      <c r="R79" s="337"/>
      <c r="T79" s="327"/>
    </row>
    <row r="80" customFormat="false" ht="12.8" hidden="false" customHeight="false" outlineLevel="0" collapsed="false">
      <c r="B80" s="270" t="n">
        <v>41666</v>
      </c>
      <c r="C80" s="348" t="n">
        <f aca="false">YEAR('LT records'!$B80)</f>
        <v>2014</v>
      </c>
      <c r="D80" s="346" t="str">
        <f aca="false">'LT records'!$C80&amp;"-"&amp;MONTH('LT records'!$B80)</f>
        <v>2014-1</v>
      </c>
      <c r="E80" s="324" t="s">
        <v>337</v>
      </c>
      <c r="F80" s="324" t="str">
        <f aca="false">LEFT('LT records'!$E80,3)</f>
        <v>MyF</v>
      </c>
      <c r="G80" s="324" t="str">
        <f aca="false">IF(OR('LT records'!$F80="MyF", 'LT records'!$F80="DEP"),"DEP",IF('LT records'!$F80="CSH","CSH",IF('LT records'!$F80="BON","BND",IF('LT records'!$F80="Sma","MKT",IF(OR('LT records'!$F80="Val", 'LT records'!$F80="EUR"),"FCY",IF('LT records'!$F80="X-P","PP3",IF('LT records'!$F80="X-m","XAU","???")))))))</f>
        <v>DEP</v>
      </c>
      <c r="H80" s="325" t="n">
        <v>-13.56</v>
      </c>
      <c r="I80" s="340" t="n">
        <v>13.56</v>
      </c>
      <c r="J80" s="325"/>
      <c r="K80" s="340"/>
      <c r="L80" s="341" t="s">
        <v>342</v>
      </c>
      <c r="M80" s="342" t="str">
        <f aca="false">YEAR('LT records'!$B80)&amp;"-"&amp;MONTH('LT records'!$B80)</f>
        <v>2014-1</v>
      </c>
      <c r="N80" s="343" t="n">
        <f aca="false">'LT records'!$H80+'LT records'!$I80</f>
        <v>0</v>
      </c>
      <c r="O80" s="335"/>
      <c r="P80" s="335"/>
      <c r="Q80" s="336"/>
      <c r="R80" s="337"/>
      <c r="T80" s="327"/>
    </row>
    <row r="81" customFormat="false" ht="12.8" hidden="false" customHeight="false" outlineLevel="0" collapsed="false">
      <c r="B81" s="270" t="n">
        <v>41666</v>
      </c>
      <c r="C81" s="348" t="n">
        <f aca="false">YEAR('LT records'!$B81)</f>
        <v>2014</v>
      </c>
      <c r="D81" s="346" t="str">
        <f aca="false">'LT records'!$C81&amp;"-"&amp;MONTH('LT records'!$B81)</f>
        <v>2014-1</v>
      </c>
      <c r="E81" s="324" t="s">
        <v>340</v>
      </c>
      <c r="F81" s="324" t="str">
        <f aca="false">LEFT('LT records'!$E81,3)</f>
        <v>MyF</v>
      </c>
      <c r="G81" s="324" t="str">
        <f aca="false">IF(OR('LT records'!$F81="MyF", 'LT records'!$F81="DEP"),"DEP",IF('LT records'!$F81="CSH","CSH",IF('LT records'!$F81="BON","BND",IF('LT records'!$F81="Sma","MKT",IF(OR('LT records'!$F81="Val", 'LT records'!$F81="EUR"),"FCY",IF('LT records'!$F81="X-P","PP3",IF('LT records'!$F81="X-m","XAU","???")))))))</f>
        <v>DEP</v>
      </c>
      <c r="H81" s="325" t="n">
        <v>-13.56</v>
      </c>
      <c r="I81" s="340" t="n">
        <v>13.56</v>
      </c>
      <c r="J81" s="325"/>
      <c r="K81" s="340"/>
      <c r="L81" s="341" t="s">
        <v>342</v>
      </c>
      <c r="M81" s="342" t="str">
        <f aca="false">YEAR('LT records'!$B81)&amp;"-"&amp;MONTH('LT records'!$B81)</f>
        <v>2014-1</v>
      </c>
      <c r="N81" s="343" t="n">
        <f aca="false">'LT records'!$H81+'LT records'!$I81</f>
        <v>0</v>
      </c>
      <c r="O81" s="335"/>
      <c r="P81" s="335"/>
      <c r="Q81" s="336"/>
      <c r="R81" s="337"/>
      <c r="T81" s="327"/>
    </row>
    <row r="82" customFormat="false" ht="12.8" hidden="false" customHeight="false" outlineLevel="0" collapsed="false">
      <c r="B82" s="270" t="n">
        <v>41677</v>
      </c>
      <c r="C82" s="348" t="n">
        <f aca="false">YEAR('LT records'!$B82)</f>
        <v>2014</v>
      </c>
      <c r="D82" s="346" t="str">
        <f aca="false">'LT records'!$C82&amp;"-"&amp;MONTH('LT records'!$B82)</f>
        <v>2014-2</v>
      </c>
      <c r="E82" s="324" t="s">
        <v>355</v>
      </c>
      <c r="F82" s="324" t="str">
        <f aca="false">LEFT('LT records'!$E82,3)</f>
        <v>MyF</v>
      </c>
      <c r="G82" s="324" t="str">
        <f aca="false">IF(OR('LT records'!$F82="MyF", 'LT records'!$F82="DEP"),"DEP",IF('LT records'!$F82="CSH","CSH",IF('LT records'!$F82="BON","BND",IF('LT records'!$F82="Sma","MKT",IF(OR('LT records'!$F82="Val", 'LT records'!$F82="EUR"),"FCY",IF('LT records'!$F82="X-P","PP3",IF('LT records'!$F82="X-m","XAU","???")))))))</f>
        <v>DEP</v>
      </c>
      <c r="H82" s="325" t="n">
        <v>5000</v>
      </c>
      <c r="I82" s="340"/>
      <c r="J82" s="325"/>
      <c r="K82" s="340"/>
      <c r="L82" s="341" t="s">
        <v>349</v>
      </c>
      <c r="M82" s="342" t="str">
        <f aca="false">YEAR('LT records'!$B82)&amp;"-"&amp;MONTH('LT records'!$B82)</f>
        <v>2014-2</v>
      </c>
      <c r="N82" s="343" t="n">
        <f aca="false">'LT records'!$H82+'LT records'!$I82</f>
        <v>5000</v>
      </c>
      <c r="O82" s="335"/>
      <c r="P82" s="335"/>
      <c r="Q82" s="336"/>
      <c r="R82" s="337"/>
      <c r="T82" s="327"/>
    </row>
    <row r="83" customFormat="false" ht="12.8" hidden="false" customHeight="false" outlineLevel="0" collapsed="false">
      <c r="B83" s="270" t="n">
        <v>41690</v>
      </c>
      <c r="C83" s="348" t="n">
        <f aca="false">YEAR('LT records'!$B83)</f>
        <v>2014</v>
      </c>
      <c r="D83" s="346" t="str">
        <f aca="false">'LT records'!$C83&amp;"-"&amp;MONTH('LT records'!$B83)</f>
        <v>2014-2</v>
      </c>
      <c r="E83" s="324" t="s">
        <v>344</v>
      </c>
      <c r="F83" s="324" t="str">
        <f aca="false">LEFT('LT records'!$E83,3)</f>
        <v>MyF</v>
      </c>
      <c r="G83" s="324" t="str">
        <f aca="false">IF(OR('LT records'!$F83="MyF", 'LT records'!$F83="DEP"),"DEP",IF('LT records'!$F83="CSH","CSH",IF('LT records'!$F83="BON","BND",IF('LT records'!$F83="Sma","MKT",IF(OR('LT records'!$F83="Val", 'LT records'!$F83="EUR"),"FCY",IF('LT records'!$F83="X-P","PP3",IF('LT records'!$F83="X-m","XAU","???")))))))</f>
        <v>DEP</v>
      </c>
      <c r="H83" s="325" t="n">
        <v>0</v>
      </c>
      <c r="I83" s="340" t="n">
        <v>12.48</v>
      </c>
      <c r="J83" s="325"/>
      <c r="K83" s="340"/>
      <c r="L83" s="341" t="s">
        <v>342</v>
      </c>
      <c r="M83" s="342" t="str">
        <f aca="false">YEAR('LT records'!$B83)&amp;"-"&amp;MONTH('LT records'!$B83)</f>
        <v>2014-2</v>
      </c>
      <c r="N83" s="343" t="n">
        <f aca="false">'LT records'!$H83+'LT records'!$I83</f>
        <v>12.48</v>
      </c>
      <c r="O83" s="335"/>
      <c r="P83" s="335"/>
      <c r="Q83" s="336"/>
      <c r="R83" s="337"/>
      <c r="T83" s="327"/>
    </row>
    <row r="84" customFormat="false" ht="12.8" hidden="false" customHeight="false" outlineLevel="0" collapsed="false">
      <c r="B84" s="270" t="n">
        <v>41690</v>
      </c>
      <c r="C84" s="348" t="n">
        <f aca="false">YEAR('LT records'!$B84)</f>
        <v>2014</v>
      </c>
      <c r="D84" s="346" t="str">
        <f aca="false">'LT records'!$C84&amp;"-"&amp;MONTH('LT records'!$B84)</f>
        <v>2014-2</v>
      </c>
      <c r="E84" s="324" t="s">
        <v>350</v>
      </c>
      <c r="F84" s="324" t="str">
        <f aca="false">LEFT('LT records'!$E84,3)</f>
        <v>MyF</v>
      </c>
      <c r="G84" s="324" t="str">
        <f aca="false">IF(OR('LT records'!$F84="MyF", 'LT records'!$F84="DEP"),"DEP",IF('LT records'!$F84="CSH","CSH",IF('LT records'!$F84="BON","BND",IF('LT records'!$F84="Sma","MKT",IF(OR('LT records'!$F84="Val", 'LT records'!$F84="EUR"),"FCY",IF('LT records'!$F84="X-P","PP3",IF('LT records'!$F84="X-m","XAU","???")))))))</f>
        <v>DEP</v>
      </c>
      <c r="H84" s="325" t="n">
        <v>0</v>
      </c>
      <c r="I84" s="340" t="n">
        <v>7.49</v>
      </c>
      <c r="J84" s="325"/>
      <c r="K84" s="340"/>
      <c r="L84" s="341" t="s">
        <v>342</v>
      </c>
      <c r="M84" s="342" t="str">
        <f aca="false">YEAR('LT records'!$B84)&amp;"-"&amp;MONTH('LT records'!$B84)</f>
        <v>2014-2</v>
      </c>
      <c r="N84" s="343" t="n">
        <f aca="false">'LT records'!$H84+'LT records'!$I84</f>
        <v>7.49</v>
      </c>
      <c r="O84" s="335"/>
      <c r="P84" s="335"/>
      <c r="Q84" s="336"/>
      <c r="R84" s="337"/>
      <c r="T84" s="327"/>
    </row>
    <row r="85" customFormat="false" ht="12.8" hidden="false" customHeight="false" outlineLevel="0" collapsed="false">
      <c r="B85" s="270" t="n">
        <v>41690</v>
      </c>
      <c r="C85" s="348" t="n">
        <f aca="false">YEAR('LT records'!$B85)</f>
        <v>2014</v>
      </c>
      <c r="D85" s="346" t="str">
        <f aca="false">'LT records'!$C85&amp;"-"&amp;MONTH('LT records'!$B85)</f>
        <v>2014-2</v>
      </c>
      <c r="E85" s="324" t="s">
        <v>350</v>
      </c>
      <c r="F85" s="324" t="str">
        <f aca="false">LEFT('LT records'!$E85,3)</f>
        <v>MyF</v>
      </c>
      <c r="G85" s="324" t="str">
        <f aca="false">IF(OR('LT records'!$F85="MyF", 'LT records'!$F85="DEP"),"DEP",IF('LT records'!$F85="CSH","CSH",IF('LT records'!$F85="BON","BND",IF('LT records'!$F85="Sma","MKT",IF(OR('LT records'!$F85="Val", 'LT records'!$F85="EUR"),"FCY",IF('LT records'!$F85="X-P","PP3",IF('LT records'!$F85="X-m","XAU","???")))))))</f>
        <v>DEP</v>
      </c>
      <c r="H85" s="325" t="n">
        <v>-3007.49</v>
      </c>
      <c r="I85" s="340"/>
      <c r="J85" s="325"/>
      <c r="K85" s="340"/>
      <c r="L85" s="341" t="s">
        <v>353</v>
      </c>
      <c r="M85" s="342" t="str">
        <f aca="false">YEAR('LT records'!$B85)&amp;"-"&amp;MONTH('LT records'!$B85)</f>
        <v>2014-2</v>
      </c>
      <c r="N85" s="343" t="n">
        <f aca="false">'LT records'!$H85+'LT records'!$I85</f>
        <v>-3007.49</v>
      </c>
      <c r="O85" s="335"/>
      <c r="P85" s="335"/>
      <c r="Q85" s="336"/>
      <c r="R85" s="337"/>
      <c r="T85" s="327"/>
    </row>
    <row r="86" customFormat="false" ht="12.8" hidden="false" customHeight="false" outlineLevel="0" collapsed="false">
      <c r="B86" s="270" t="n">
        <v>41690</v>
      </c>
      <c r="C86" s="348" t="n">
        <f aca="false">YEAR('LT records'!$B86)</f>
        <v>2014</v>
      </c>
      <c r="D86" s="346" t="str">
        <f aca="false">'LT records'!$C86&amp;"-"&amp;MONTH('LT records'!$B86)</f>
        <v>2014-2</v>
      </c>
      <c r="E86" s="324" t="s">
        <v>344</v>
      </c>
      <c r="F86" s="324" t="str">
        <f aca="false">LEFT('LT records'!$E86,3)</f>
        <v>MyF</v>
      </c>
      <c r="G86" s="324" t="str">
        <f aca="false">IF(OR('LT records'!$F86="MyF", 'LT records'!$F86="DEP"),"DEP",IF('LT records'!$F86="CSH","CSH",IF('LT records'!$F86="BON","BND",IF('LT records'!$F86="Sma","MKT",IF(OR('LT records'!$F86="Val", 'LT records'!$F86="EUR"),"FCY",IF('LT records'!$F86="X-P","PP3",IF('LT records'!$F86="X-m","XAU","???")))))))</f>
        <v>DEP</v>
      </c>
      <c r="H86" s="325" t="n">
        <v>4987.52</v>
      </c>
      <c r="I86" s="340"/>
      <c r="J86" s="325"/>
      <c r="K86" s="340"/>
      <c r="L86" s="341" t="s">
        <v>347</v>
      </c>
      <c r="M86" s="342" t="str">
        <f aca="false">YEAR('LT records'!$B86)&amp;"-"&amp;MONTH('LT records'!$B86)</f>
        <v>2014-2</v>
      </c>
      <c r="N86" s="343" t="n">
        <f aca="false">'LT records'!$H86+'LT records'!$I86</f>
        <v>4987.52</v>
      </c>
      <c r="O86" s="335"/>
      <c r="P86" s="335"/>
      <c r="Q86" s="336"/>
      <c r="R86" s="337"/>
      <c r="T86" s="327"/>
    </row>
    <row r="87" customFormat="false" ht="12.8" hidden="false" customHeight="false" outlineLevel="0" collapsed="false">
      <c r="B87" s="270" t="n">
        <v>41697</v>
      </c>
      <c r="C87" s="348" t="n">
        <f aca="false">YEAR('LT records'!$B87)</f>
        <v>2014</v>
      </c>
      <c r="D87" s="346" t="str">
        <f aca="false">'LT records'!$C87&amp;"-"&amp;MONTH('LT records'!$B87)</f>
        <v>2014-2</v>
      </c>
      <c r="E87" s="324" t="s">
        <v>337</v>
      </c>
      <c r="F87" s="324" t="str">
        <f aca="false">LEFT('LT records'!$E87,3)</f>
        <v>MyF</v>
      </c>
      <c r="G87" s="324" t="str">
        <f aca="false">IF(OR('LT records'!$F87="MyF", 'LT records'!$F87="DEP"),"DEP",IF('LT records'!$F87="CSH","CSH",IF('LT records'!$F87="BON","BND",IF('LT records'!$F87="Sma","MKT",IF(OR('LT records'!$F87="Val", 'LT records'!$F87="EUR"),"FCY",IF('LT records'!$F87="X-P","PP3",IF('LT records'!$F87="X-m","XAU","???")))))))</f>
        <v>DEP</v>
      </c>
      <c r="H87" s="325" t="n">
        <v>0</v>
      </c>
      <c r="I87" s="340" t="n">
        <v>12.48</v>
      </c>
      <c r="J87" s="325"/>
      <c r="K87" s="340"/>
      <c r="L87" s="341" t="s">
        <v>342</v>
      </c>
      <c r="M87" s="342" t="str">
        <f aca="false">YEAR('LT records'!$B87)&amp;"-"&amp;MONTH('LT records'!$B87)</f>
        <v>2014-2</v>
      </c>
      <c r="N87" s="343" t="n">
        <f aca="false">'LT records'!$H87+'LT records'!$I87</f>
        <v>12.48</v>
      </c>
      <c r="O87" s="335"/>
      <c r="P87" s="335"/>
      <c r="Q87" s="336"/>
      <c r="R87" s="337"/>
      <c r="T87" s="327"/>
    </row>
    <row r="88" customFormat="false" ht="12.8" hidden="false" customHeight="false" outlineLevel="0" collapsed="false">
      <c r="B88" s="270" t="n">
        <v>41697</v>
      </c>
      <c r="C88" s="348" t="n">
        <f aca="false">YEAR('LT records'!$B88)</f>
        <v>2014</v>
      </c>
      <c r="D88" s="346" t="str">
        <f aca="false">'LT records'!$C88&amp;"-"&amp;MONTH('LT records'!$B88)</f>
        <v>2014-2</v>
      </c>
      <c r="E88" s="324" t="s">
        <v>340</v>
      </c>
      <c r="F88" s="324" t="str">
        <f aca="false">LEFT('LT records'!$E88,3)</f>
        <v>MyF</v>
      </c>
      <c r="G88" s="324" t="str">
        <f aca="false">IF(OR('LT records'!$F88="MyF", 'LT records'!$F88="DEP"),"DEP",IF('LT records'!$F88="CSH","CSH",IF('LT records'!$F88="BON","BND",IF('LT records'!$F88="Sma","MKT",IF(OR('LT records'!$F88="Val", 'LT records'!$F88="EUR"),"FCY",IF('LT records'!$F88="X-P","PP3",IF('LT records'!$F88="X-m","XAU","???")))))))</f>
        <v>DEP</v>
      </c>
      <c r="H88" s="325" t="n">
        <v>0</v>
      </c>
      <c r="I88" s="340" t="n">
        <v>12.48</v>
      </c>
      <c r="J88" s="325"/>
      <c r="K88" s="340"/>
      <c r="L88" s="341" t="s">
        <v>342</v>
      </c>
      <c r="M88" s="342" t="str">
        <f aca="false">YEAR('LT records'!$B88)&amp;"-"&amp;MONTH('LT records'!$B88)</f>
        <v>2014-2</v>
      </c>
      <c r="N88" s="343" t="n">
        <f aca="false">'LT records'!$H88+'LT records'!$I88</f>
        <v>12.48</v>
      </c>
      <c r="O88" s="335"/>
      <c r="P88" s="335"/>
      <c r="Q88" s="336"/>
      <c r="R88" s="337"/>
      <c r="T88" s="327"/>
    </row>
    <row r="89" customFormat="false" ht="12.8" hidden="false" customHeight="false" outlineLevel="0" collapsed="false">
      <c r="B89" s="270" t="n">
        <v>41697</v>
      </c>
      <c r="C89" s="348" t="n">
        <f aca="false">YEAR('LT records'!$B89)</f>
        <v>2014</v>
      </c>
      <c r="D89" s="346" t="str">
        <f aca="false">'LT records'!$C89&amp;"-"&amp;MONTH('LT records'!$B89)</f>
        <v>2014-2</v>
      </c>
      <c r="E89" s="324" t="s">
        <v>340</v>
      </c>
      <c r="F89" s="324" t="str">
        <f aca="false">LEFT('LT records'!$E89,3)</f>
        <v>MyF</v>
      </c>
      <c r="G89" s="324" t="str">
        <f aca="false">IF(OR('LT records'!$F89="MyF", 'LT records'!$F89="DEP"),"DEP",IF('LT records'!$F89="CSH","CSH",IF('LT records'!$F89="BON","BND",IF('LT records'!$F89="Sma","MKT",IF(OR('LT records'!$F89="Val", 'LT records'!$F89="EUR"),"FCY",IF('LT records'!$F89="X-P","PP3",IF('LT records'!$F89="X-m","XAU","???")))))))</f>
        <v>DEP</v>
      </c>
      <c r="H89" s="325" t="n">
        <v>-5012.48</v>
      </c>
      <c r="I89" s="340"/>
      <c r="J89" s="325"/>
      <c r="K89" s="340"/>
      <c r="L89" s="341" t="s">
        <v>353</v>
      </c>
      <c r="M89" s="342" t="str">
        <f aca="false">YEAR('LT records'!$B89)&amp;"-"&amp;MONTH('LT records'!$B89)</f>
        <v>2014-2</v>
      </c>
      <c r="N89" s="343" t="n">
        <f aca="false">'LT records'!$H89+'LT records'!$I89</f>
        <v>-5012.48</v>
      </c>
      <c r="O89" s="335"/>
      <c r="P89" s="335"/>
      <c r="Q89" s="336"/>
      <c r="R89" s="337"/>
      <c r="T89" s="327"/>
    </row>
    <row r="90" customFormat="false" ht="12.8" hidden="false" customHeight="false" outlineLevel="0" collapsed="false">
      <c r="B90" s="270" t="n">
        <v>41697</v>
      </c>
      <c r="C90" s="348" t="n">
        <f aca="false">YEAR('LT records'!$B90)</f>
        <v>2014</v>
      </c>
      <c r="D90" s="346" t="str">
        <f aca="false">'LT records'!$C90&amp;"-"&amp;MONTH('LT records'!$B90)</f>
        <v>2014-2</v>
      </c>
      <c r="E90" s="324" t="s">
        <v>337</v>
      </c>
      <c r="F90" s="324" t="str">
        <f aca="false">LEFT('LT records'!$E90,3)</f>
        <v>MyF</v>
      </c>
      <c r="G90" s="324" t="str">
        <f aca="false">IF(OR('LT records'!$F90="MyF", 'LT records'!$F90="DEP"),"DEP",IF('LT records'!$F90="CSH","CSH",IF('LT records'!$F90="BON","BND",IF('LT records'!$F90="Sma","MKT",IF(OR('LT records'!$F90="Val", 'LT records'!$F90="EUR"),"FCY",IF('LT records'!$F90="X-P","PP3",IF('LT records'!$F90="X-m","XAU","???")))))))</f>
        <v>DEP</v>
      </c>
      <c r="H90" s="325" t="n">
        <v>4987.52</v>
      </c>
      <c r="I90" s="340"/>
      <c r="J90" s="325"/>
      <c r="K90" s="340"/>
      <c r="L90" s="341" t="s">
        <v>347</v>
      </c>
      <c r="M90" s="342" t="str">
        <f aca="false">YEAR('LT records'!$B90)&amp;"-"&amp;MONTH('LT records'!$B90)</f>
        <v>2014-2</v>
      </c>
      <c r="N90" s="343" t="n">
        <f aca="false">'LT records'!$H90+'LT records'!$I90</f>
        <v>4987.52</v>
      </c>
      <c r="O90" s="335"/>
      <c r="P90" s="335"/>
      <c r="Q90" s="336"/>
      <c r="R90" s="337"/>
      <c r="T90" s="327"/>
    </row>
    <row r="91" customFormat="false" ht="12.8" hidden="false" customHeight="false" outlineLevel="0" collapsed="false">
      <c r="B91" s="270" t="n">
        <v>41697</v>
      </c>
      <c r="C91" s="348" t="n">
        <f aca="false">YEAR('LT records'!$B91)</f>
        <v>2014</v>
      </c>
      <c r="D91" s="346" t="str">
        <f aca="false">'LT records'!$C91&amp;"-"&amp;MONTH('LT records'!$B91)</f>
        <v>2014-2</v>
      </c>
      <c r="E91" s="324" t="s">
        <v>355</v>
      </c>
      <c r="F91" s="324" t="str">
        <f aca="false">LEFT('LT records'!$E91,3)</f>
        <v>MyF</v>
      </c>
      <c r="G91" s="324" t="str">
        <f aca="false">IF(OR('LT records'!$F91="MyF", 'LT records'!$F91="DEP"),"DEP",IF('LT records'!$F91="CSH","CSH",IF('LT records'!$F91="BON","BND",IF('LT records'!$F91="Sma","MKT",IF(OR('LT records'!$F91="Val", 'LT records'!$F91="EUR"),"FCY",IF('LT records'!$F91="X-P","PP3",IF('LT records'!$F91="X-m","XAU","???")))))))</f>
        <v>DEP</v>
      </c>
      <c r="H91" s="325" t="n">
        <v>-5000</v>
      </c>
      <c r="I91" s="340"/>
      <c r="J91" s="325"/>
      <c r="K91" s="340"/>
      <c r="L91" s="341" t="s">
        <v>352</v>
      </c>
      <c r="M91" s="342" t="str">
        <f aca="false">YEAR('LT records'!$B91)&amp;"-"&amp;MONTH('LT records'!$B91)</f>
        <v>2014-2</v>
      </c>
      <c r="N91" s="343" t="n">
        <f aca="false">'LT records'!$H91+'LT records'!$I91</f>
        <v>-5000</v>
      </c>
      <c r="O91" s="335"/>
      <c r="P91" s="335"/>
      <c r="Q91" s="336"/>
      <c r="R91" s="337"/>
      <c r="T91" s="327"/>
    </row>
    <row r="92" customFormat="false" ht="12.8" hidden="false" customHeight="false" outlineLevel="0" collapsed="false">
      <c r="B92" s="270" t="n">
        <v>41697</v>
      </c>
      <c r="C92" s="348" t="n">
        <f aca="false">YEAR('LT records'!$B92)</f>
        <v>2014</v>
      </c>
      <c r="D92" s="346" t="str">
        <f aca="false">'LT records'!$C92&amp;"-"&amp;MONTH('LT records'!$B92)</f>
        <v>2014-2</v>
      </c>
      <c r="E92" s="324" t="s">
        <v>340</v>
      </c>
      <c r="F92" s="324" t="str">
        <f aca="false">LEFT('LT records'!$E92,3)</f>
        <v>MyF</v>
      </c>
      <c r="G92" s="324" t="str">
        <f aca="false">IF(OR('LT records'!$F92="MyF", 'LT records'!$F92="DEP"),"DEP",IF('LT records'!$F92="CSH","CSH",IF('LT records'!$F92="BON","BND",IF('LT records'!$F92="Sma","MKT",IF(OR('LT records'!$F92="Val", 'LT records'!$F92="EUR"),"FCY",IF('LT records'!$F92="X-P","PP3",IF('LT records'!$F92="X-m","XAU","???")))))))</f>
        <v>DEP</v>
      </c>
      <c r="H92" s="325" t="n">
        <v>5000</v>
      </c>
      <c r="I92" s="340"/>
      <c r="J92" s="325"/>
      <c r="K92" s="340"/>
      <c r="L92" s="341" t="s">
        <v>352</v>
      </c>
      <c r="M92" s="342" t="str">
        <f aca="false">YEAR('LT records'!$B92)&amp;"-"&amp;MONTH('LT records'!$B92)</f>
        <v>2014-2</v>
      </c>
      <c r="N92" s="343" t="n">
        <f aca="false">'LT records'!$H92+'LT records'!$I92</f>
        <v>5000</v>
      </c>
      <c r="O92" s="335"/>
      <c r="P92" s="335"/>
      <c r="Q92" s="336"/>
      <c r="R92" s="337"/>
      <c r="T92" s="327"/>
    </row>
    <row r="93" customFormat="false" ht="12.8" hidden="false" customHeight="false" outlineLevel="0" collapsed="false">
      <c r="B93" s="270" t="n">
        <v>41705</v>
      </c>
      <c r="C93" s="348" t="n">
        <f aca="false">YEAR('LT records'!$B93)</f>
        <v>2014</v>
      </c>
      <c r="D93" s="346" t="str">
        <f aca="false">'LT records'!$C93&amp;"-"&amp;MONTH('LT records'!$B93)</f>
        <v>2014-3</v>
      </c>
      <c r="E93" s="324" t="s">
        <v>340</v>
      </c>
      <c r="F93" s="324" t="str">
        <f aca="false">LEFT('LT records'!$E93,3)</f>
        <v>MyF</v>
      </c>
      <c r="G93" s="324" t="str">
        <f aca="false">IF(OR('LT records'!$F93="MyF", 'LT records'!$F93="DEP"),"DEP",IF('LT records'!$F93="CSH","CSH",IF('LT records'!$F93="BON","BND",IF('LT records'!$F93="Sma","MKT",IF(OR('LT records'!$F93="Val", 'LT records'!$F93="EUR"),"FCY",IF('LT records'!$F93="X-P","PP3",IF('LT records'!$F93="X-m","XAU","???")))))))</f>
        <v>DEP</v>
      </c>
      <c r="H93" s="325" t="n">
        <v>-11.27</v>
      </c>
      <c r="I93" s="340" t="n">
        <v>11.27</v>
      </c>
      <c r="J93" s="325"/>
      <c r="K93" s="340"/>
      <c r="L93" s="341" t="s">
        <v>342</v>
      </c>
      <c r="M93" s="342" t="str">
        <f aca="false">YEAR('LT records'!$B93)&amp;"-"&amp;MONTH('LT records'!$B93)</f>
        <v>2014-3</v>
      </c>
      <c r="N93" s="343" t="n">
        <f aca="false">'LT records'!$H93+'LT records'!$I93</f>
        <v>0</v>
      </c>
      <c r="O93" s="335"/>
      <c r="P93" s="335"/>
      <c r="Q93" s="336"/>
      <c r="R93" s="337"/>
      <c r="T93" s="327"/>
    </row>
    <row r="94" customFormat="false" ht="12.8" hidden="false" customHeight="false" outlineLevel="0" collapsed="false">
      <c r="B94" s="270" t="n">
        <v>41736</v>
      </c>
      <c r="C94" s="348" t="n">
        <f aca="false">YEAR('LT records'!$B94)</f>
        <v>2014</v>
      </c>
      <c r="D94" s="346" t="str">
        <f aca="false">'LT records'!$C94&amp;"-"&amp;MONTH('LT records'!$B94)</f>
        <v>2014-4</v>
      </c>
      <c r="E94" s="324" t="s">
        <v>340</v>
      </c>
      <c r="F94" s="324" t="str">
        <f aca="false">LEFT('LT records'!$E94,3)</f>
        <v>MyF</v>
      </c>
      <c r="G94" s="324" t="str">
        <f aca="false">IF(OR('LT records'!$F94="MyF", 'LT records'!$F94="DEP"),"DEP",IF('LT records'!$F94="CSH","CSH",IF('LT records'!$F94="BON","BND",IF('LT records'!$F94="Sma","MKT",IF(OR('LT records'!$F94="Val", 'LT records'!$F94="EUR"),"FCY",IF('LT records'!$F94="X-P","PP3",IF('LT records'!$F94="X-m","XAU","???")))))))</f>
        <v>DEP</v>
      </c>
      <c r="H94" s="325" t="n">
        <v>-11.59</v>
      </c>
      <c r="I94" s="340" t="n">
        <v>11.59</v>
      </c>
      <c r="J94" s="325"/>
      <c r="K94" s="340"/>
      <c r="L94" s="341" t="s">
        <v>342</v>
      </c>
      <c r="M94" s="342" t="str">
        <f aca="false">YEAR('LT records'!$B94)&amp;"-"&amp;MONTH('LT records'!$B94)</f>
        <v>2014-4</v>
      </c>
      <c r="N94" s="343" t="n">
        <f aca="false">'LT records'!$H94+'LT records'!$I94</f>
        <v>0</v>
      </c>
      <c r="O94" s="335"/>
      <c r="P94" s="335"/>
      <c r="Q94" s="336"/>
      <c r="R94" s="337"/>
      <c r="T94" s="327"/>
    </row>
    <row r="95" customFormat="false" ht="12.8" hidden="false" customHeight="false" outlineLevel="0" collapsed="false">
      <c r="B95" s="270" t="n">
        <v>41746</v>
      </c>
      <c r="C95" s="348" t="n">
        <f aca="false">YEAR('LT records'!$B95)</f>
        <v>2014</v>
      </c>
      <c r="D95" s="346" t="str">
        <f aca="false">'LT records'!$C95&amp;"-"&amp;MONTH('LT records'!$B95)</f>
        <v>2014-4</v>
      </c>
      <c r="E95" s="324" t="s">
        <v>350</v>
      </c>
      <c r="F95" s="324" t="str">
        <f aca="false">LEFT('LT records'!$E95,3)</f>
        <v>MyF</v>
      </c>
      <c r="G95" s="324" t="str">
        <f aca="false">IF(OR('LT records'!$F95="MyF", 'LT records'!$F95="DEP"),"DEP",IF('LT records'!$F95="CSH","CSH",IF('LT records'!$F95="BON","BND",IF('LT records'!$F95="Sma","MKT",IF(OR('LT records'!$F95="Val", 'LT records'!$F95="EUR"),"FCY",IF('LT records'!$F95="X-P","PP3",IF('LT records'!$F95="X-m","XAU","???")))))))</f>
        <v>DEP</v>
      </c>
      <c r="H95" s="325" t="n">
        <v>1000</v>
      </c>
      <c r="I95" s="340"/>
      <c r="J95" s="325"/>
      <c r="K95" s="340"/>
      <c r="L95" s="341" t="s">
        <v>349</v>
      </c>
      <c r="M95" s="342" t="str">
        <f aca="false">YEAR('LT records'!$B95)&amp;"-"&amp;MONTH('LT records'!$B95)</f>
        <v>2014-4</v>
      </c>
      <c r="N95" s="343" t="n">
        <f aca="false">'LT records'!$H95+'LT records'!$I95</f>
        <v>1000</v>
      </c>
      <c r="O95" s="335"/>
      <c r="P95" s="335"/>
      <c r="Q95" s="336"/>
      <c r="R95" s="337"/>
      <c r="T95" s="327"/>
    </row>
    <row r="96" customFormat="false" ht="12.8" hidden="false" customHeight="false" outlineLevel="0" collapsed="false">
      <c r="B96" s="270" t="n">
        <v>41766</v>
      </c>
      <c r="C96" s="348" t="n">
        <f aca="false">YEAR('LT records'!$B96)</f>
        <v>2014</v>
      </c>
      <c r="D96" s="346" t="str">
        <f aca="false">'LT records'!$C96&amp;"-"&amp;MONTH('LT records'!$B96)</f>
        <v>2014-5</v>
      </c>
      <c r="E96" s="324" t="s">
        <v>340</v>
      </c>
      <c r="F96" s="324" t="str">
        <f aca="false">LEFT('LT records'!$E96,3)</f>
        <v>MyF</v>
      </c>
      <c r="G96" s="324" t="str">
        <f aca="false">IF(OR('LT records'!$F96="MyF", 'LT records'!$F96="DEP"),"DEP",IF('LT records'!$F96="CSH","CSH",IF('LT records'!$F96="BON","BND",IF('LT records'!$F96="Sma","MKT",IF(OR('LT records'!$F96="Val", 'LT records'!$F96="EUR"),"FCY",IF('LT records'!$F96="X-P","PP3",IF('LT records'!$F96="X-m","XAU","???")))))))</f>
        <v>DEP</v>
      </c>
      <c r="H96" s="325" t="n">
        <v>-11.22</v>
      </c>
      <c r="I96" s="340" t="n">
        <v>11.22</v>
      </c>
      <c r="J96" s="325"/>
      <c r="K96" s="340"/>
      <c r="L96" s="341" t="s">
        <v>342</v>
      </c>
      <c r="M96" s="342" t="str">
        <f aca="false">YEAR('LT records'!$B96)&amp;"-"&amp;MONTH('LT records'!$B96)</f>
        <v>2014-5</v>
      </c>
      <c r="N96" s="343" t="n">
        <f aca="false">'LT records'!$H96+'LT records'!$I96</f>
        <v>0</v>
      </c>
      <c r="O96" s="335"/>
      <c r="P96" s="335"/>
      <c r="Q96" s="336"/>
      <c r="R96" s="337"/>
      <c r="T96" s="327"/>
    </row>
    <row r="97" customFormat="false" ht="12.8" hidden="false" customHeight="false" outlineLevel="0" collapsed="false">
      <c r="B97" s="270" t="n">
        <v>41778</v>
      </c>
      <c r="C97" s="348" t="n">
        <f aca="false">YEAR('LT records'!$B97)</f>
        <v>2014</v>
      </c>
      <c r="D97" s="346" t="str">
        <f aca="false">'LT records'!$C97&amp;"-"&amp;MONTH('LT records'!$B97)</f>
        <v>2014-5</v>
      </c>
      <c r="E97" s="324" t="s">
        <v>350</v>
      </c>
      <c r="F97" s="324" t="str">
        <f aca="false">LEFT('LT records'!$E97,3)</f>
        <v>MyF</v>
      </c>
      <c r="G97" s="324" t="str">
        <f aca="false">IF(OR('LT records'!$F97="MyF", 'LT records'!$F97="DEP"),"DEP",IF('LT records'!$F97="CSH","CSH",IF('LT records'!$F97="BON","BND",IF('LT records'!$F97="Sma","MKT",IF(OR('LT records'!$F97="Val", 'LT records'!$F97="EUR"),"FCY",IF('LT records'!$F97="X-P","PP3",IF('LT records'!$F97="X-m","XAU","???")))))))</f>
        <v>DEP</v>
      </c>
      <c r="H97" s="325" t="n">
        <f aca="false">-2.39+200</f>
        <v>197.61</v>
      </c>
      <c r="I97" s="340" t="n">
        <v>2.39</v>
      </c>
      <c r="J97" s="325"/>
      <c r="K97" s="340"/>
      <c r="L97" s="341" t="s">
        <v>342</v>
      </c>
      <c r="M97" s="342" t="str">
        <f aca="false">YEAR('LT records'!$B97)&amp;"-"&amp;MONTH('LT records'!$B97)</f>
        <v>2014-5</v>
      </c>
      <c r="N97" s="343" t="n">
        <f aca="false">'LT records'!$H97+'LT records'!$I97</f>
        <v>200</v>
      </c>
      <c r="O97" s="335"/>
      <c r="P97" s="335"/>
      <c r="Q97" s="336"/>
      <c r="R97" s="337"/>
      <c r="T97" s="327"/>
    </row>
    <row r="98" customFormat="false" ht="12.8" hidden="false" customHeight="false" outlineLevel="0" collapsed="false">
      <c r="B98" s="270" t="n">
        <v>41779</v>
      </c>
      <c r="C98" s="348" t="n">
        <f aca="false">YEAR('LT records'!$B98)</f>
        <v>2014</v>
      </c>
      <c r="D98" s="346" t="str">
        <f aca="false">'LT records'!$C98&amp;"-"&amp;MONTH('LT records'!$B98)</f>
        <v>2014-5</v>
      </c>
      <c r="E98" s="324" t="s">
        <v>344</v>
      </c>
      <c r="F98" s="324" t="str">
        <f aca="false">LEFT('LT records'!$E98,3)</f>
        <v>MyF</v>
      </c>
      <c r="G98" s="324" t="str">
        <f aca="false">IF(OR('LT records'!$F98="MyF", 'LT records'!$F98="DEP"),"DEP",IF('LT records'!$F98="CSH","CSH",IF('LT records'!$F98="BON","BND",IF('LT records'!$F98="Sma","MKT",IF(OR('LT records'!$F98="Val", 'LT records'!$F98="EUR"),"FCY",IF('LT records'!$F98="X-P","PP3",IF('LT records'!$F98="X-m","XAU","???")))))))</f>
        <v>DEP</v>
      </c>
      <c r="H98" s="325" t="n">
        <v>-69.64</v>
      </c>
      <c r="I98" s="340" t="n">
        <v>69.64</v>
      </c>
      <c r="J98" s="325"/>
      <c r="K98" s="340"/>
      <c r="L98" s="341" t="s">
        <v>342</v>
      </c>
      <c r="M98" s="342" t="str">
        <f aca="false">YEAR('LT records'!$B98)&amp;"-"&amp;MONTH('LT records'!$B98)</f>
        <v>2014-5</v>
      </c>
      <c r="N98" s="343" t="n">
        <f aca="false">'LT records'!$H98+'LT records'!$I98</f>
        <v>0</v>
      </c>
      <c r="O98" s="335"/>
      <c r="P98" s="335"/>
      <c r="Q98" s="336"/>
      <c r="R98" s="337"/>
      <c r="T98" s="327"/>
    </row>
    <row r="99" customFormat="false" ht="12.8" hidden="false" customHeight="false" outlineLevel="0" collapsed="false">
      <c r="B99" s="270" t="n">
        <v>41786</v>
      </c>
      <c r="C99" s="348" t="n">
        <f aca="false">YEAR('LT records'!$B99)</f>
        <v>2014</v>
      </c>
      <c r="D99" s="346" t="str">
        <f aca="false">'LT records'!$C99&amp;"-"&amp;MONTH('LT records'!$B99)</f>
        <v>2014-5</v>
      </c>
      <c r="E99" s="324" t="s">
        <v>337</v>
      </c>
      <c r="F99" s="324" t="str">
        <f aca="false">LEFT('LT records'!$E99,3)</f>
        <v>MyF</v>
      </c>
      <c r="G99" s="324" t="str">
        <f aca="false">IF(OR('LT records'!$F99="MyF", 'LT records'!$F99="DEP"),"DEP",IF('LT records'!$F99="CSH","CSH",IF('LT records'!$F99="BON","BND",IF('LT records'!$F99="Sma","MKT",IF(OR('LT records'!$F99="Val", 'LT records'!$F99="EUR"),"FCY",IF('LT records'!$F99="X-P","PP3",IF('LT records'!$F99="X-m","XAU","???")))))))</f>
        <v>DEP</v>
      </c>
      <c r="H99" s="325" t="n">
        <v>-69.64</v>
      </c>
      <c r="I99" s="340" t="n">
        <v>69.64</v>
      </c>
      <c r="J99" s="325"/>
      <c r="K99" s="340"/>
      <c r="L99" s="341" t="s">
        <v>342</v>
      </c>
      <c r="M99" s="342" t="str">
        <f aca="false">YEAR('LT records'!$B99)&amp;"-"&amp;MONTH('LT records'!$B99)</f>
        <v>2014-5</v>
      </c>
      <c r="N99" s="343" t="n">
        <f aca="false">'LT records'!$H99+'LT records'!$I99</f>
        <v>0</v>
      </c>
      <c r="O99" s="335"/>
      <c r="P99" s="335"/>
      <c r="Q99" s="336"/>
      <c r="R99" s="337"/>
      <c r="T99" s="327"/>
    </row>
    <row r="100" customFormat="false" ht="12.8" hidden="false" customHeight="false" outlineLevel="0" collapsed="false">
      <c r="B100" s="270" t="n">
        <v>41800</v>
      </c>
      <c r="C100" s="348" t="n">
        <f aca="false">YEAR('LT records'!$B100)</f>
        <v>2014</v>
      </c>
      <c r="D100" s="346" t="str">
        <f aca="false">'LT records'!$C100&amp;"-"&amp;MONTH('LT records'!$B100)</f>
        <v>2014-6</v>
      </c>
      <c r="E100" s="324" t="s">
        <v>340</v>
      </c>
      <c r="F100" s="324" t="str">
        <f aca="false">LEFT('LT records'!$E100,3)</f>
        <v>MyF</v>
      </c>
      <c r="G100" s="324" t="str">
        <f aca="false">IF(OR('LT records'!$F100="MyF", 'LT records'!$F100="DEP"),"DEP",IF('LT records'!$F100="CSH","CSH",IF('LT records'!$F100="BON","BND",IF('LT records'!$F100="Sma","MKT",IF(OR('LT records'!$F100="Val", 'LT records'!$F100="EUR"),"FCY",IF('LT records'!$F100="X-P","PP3",IF('LT records'!$F100="X-m","XAU","???")))))))</f>
        <v>DEP</v>
      </c>
      <c r="H100" s="325" t="n">
        <v>-1512.72</v>
      </c>
      <c r="I100" s="340" t="n">
        <v>12.72</v>
      </c>
      <c r="J100" s="325"/>
      <c r="K100" s="340"/>
      <c r="L100" s="341" t="s">
        <v>342</v>
      </c>
      <c r="M100" s="342" t="str">
        <f aca="false">YEAR('LT records'!$B100)&amp;"-"&amp;MONTH('LT records'!$B100)</f>
        <v>2014-6</v>
      </c>
      <c r="N100" s="343" t="n">
        <f aca="false">'LT records'!$H100+'LT records'!$I100</f>
        <v>-1500</v>
      </c>
      <c r="O100" s="335"/>
      <c r="P100" s="335"/>
      <c r="Q100" s="336"/>
      <c r="R100" s="337"/>
      <c r="T100" s="327"/>
    </row>
    <row r="101" customFormat="false" ht="12.8" hidden="false" customHeight="false" outlineLevel="0" collapsed="false">
      <c r="B101" s="270" t="n">
        <v>41809</v>
      </c>
      <c r="C101" s="348" t="n">
        <f aca="false">YEAR('LT records'!$B101)</f>
        <v>2014</v>
      </c>
      <c r="D101" s="346" t="str">
        <f aca="false">'LT records'!$C101&amp;"-"&amp;MONTH('LT records'!$B101)</f>
        <v>2014-6</v>
      </c>
      <c r="E101" s="324" t="s">
        <v>350</v>
      </c>
      <c r="F101" s="324" t="str">
        <f aca="false">LEFT('LT records'!$E101,3)</f>
        <v>MyF</v>
      </c>
      <c r="G101" s="324" t="str">
        <f aca="false">IF(OR('LT records'!$F101="MyF", 'LT records'!$F101="DEP"),"DEP",IF('LT records'!$F101="CSH","CSH",IF('LT records'!$F101="BON","BND",IF('LT records'!$F101="Sma","MKT",IF(OR('LT records'!$F101="Val", 'LT records'!$F101="EUR"),"FCY",IF('LT records'!$F101="X-P","PP3",IF('LT records'!$F101="X-m","XAU","???")))))))</f>
        <v>DEP</v>
      </c>
      <c r="H101" s="325" t="n">
        <v>-2.78</v>
      </c>
      <c r="I101" s="340" t="n">
        <v>2.78</v>
      </c>
      <c r="J101" s="325"/>
      <c r="K101" s="340"/>
      <c r="L101" s="341" t="s">
        <v>342</v>
      </c>
      <c r="M101" s="342" t="str">
        <f aca="false">YEAR('LT records'!$B101)&amp;"-"&amp;MONTH('LT records'!$B101)</f>
        <v>2014-6</v>
      </c>
      <c r="N101" s="343" t="n">
        <f aca="false">'LT records'!$H101+'LT records'!$I101</f>
        <v>0</v>
      </c>
      <c r="O101" s="335"/>
      <c r="P101" s="335"/>
      <c r="Q101" s="336"/>
      <c r="R101" s="337"/>
      <c r="T101" s="327"/>
    </row>
    <row r="102" customFormat="false" ht="12.8" hidden="false" customHeight="false" outlineLevel="0" collapsed="false">
      <c r="B102" s="270" t="n">
        <v>41830</v>
      </c>
      <c r="C102" s="348" t="n">
        <f aca="false">YEAR('LT records'!$B102)</f>
        <v>2014</v>
      </c>
      <c r="D102" s="346" t="str">
        <f aca="false">'LT records'!$C102&amp;"-"&amp;MONTH('LT records'!$B102)</f>
        <v>2014-7</v>
      </c>
      <c r="E102" s="324" t="s">
        <v>340</v>
      </c>
      <c r="F102" s="324" t="str">
        <f aca="false">LEFT('LT records'!$E102,3)</f>
        <v>MyF</v>
      </c>
      <c r="G102" s="324" t="str">
        <f aca="false">IF(OR('LT records'!$F102="MyF", 'LT records'!$F102="DEP"),"DEP",IF('LT records'!$F102="CSH","CSH",IF('LT records'!$F102="BON","BND",IF('LT records'!$F102="Sma","MKT",IF(OR('LT records'!$F102="Val", 'LT records'!$F102="EUR"),"FCY",IF('LT records'!$F102="X-P","PP3",IF('LT records'!$F102="X-m","XAU","???")))))))</f>
        <v>DEP</v>
      </c>
      <c r="H102" s="325" t="n">
        <v>-2007.85</v>
      </c>
      <c r="I102" s="340" t="n">
        <v>7.85</v>
      </c>
      <c r="J102" s="325"/>
      <c r="K102" s="340"/>
      <c r="L102" s="341" t="s">
        <v>354</v>
      </c>
      <c r="M102" s="342" t="str">
        <f aca="false">YEAR('LT records'!$B102)&amp;"-"&amp;MONTH('LT records'!$B102)</f>
        <v>2014-7</v>
      </c>
      <c r="N102" s="343" t="n">
        <f aca="false">'LT records'!$H102+'LT records'!$I102</f>
        <v>-2000</v>
      </c>
      <c r="O102" s="335"/>
      <c r="P102" s="335"/>
      <c r="Q102" s="336"/>
      <c r="R102" s="337"/>
      <c r="T102" s="327"/>
    </row>
    <row r="103" customFormat="false" ht="12.8" hidden="false" customHeight="false" outlineLevel="0" collapsed="false">
      <c r="B103" s="270" t="n">
        <v>41841</v>
      </c>
      <c r="C103" s="348" t="n">
        <f aca="false">YEAR('LT records'!$B103)</f>
        <v>2014</v>
      </c>
      <c r="D103" s="346" t="str">
        <f aca="false">'LT records'!$C103&amp;"-"&amp;MONTH('LT records'!$B103)</f>
        <v>2014-7</v>
      </c>
      <c r="E103" s="324" t="s">
        <v>350</v>
      </c>
      <c r="F103" s="324" t="str">
        <f aca="false">LEFT('LT records'!$E103,3)</f>
        <v>MyF</v>
      </c>
      <c r="G103" s="324" t="str">
        <f aca="false">IF(OR('LT records'!$F103="MyF", 'LT records'!$F103="DEP"),"DEP",IF('LT records'!$F103="CSH","CSH",IF('LT records'!$F103="BON","BND",IF('LT records'!$F103="Sma","MKT",IF(OR('LT records'!$F103="Val", 'LT records'!$F103="EUR"),"FCY",IF('LT records'!$F103="X-P","PP3",IF('LT records'!$F103="X-m","XAU","???")))))))</f>
        <v>DEP</v>
      </c>
      <c r="H103" s="325" t="n">
        <v>797.13</v>
      </c>
      <c r="I103" s="340" t="n">
        <v>2.87</v>
      </c>
      <c r="J103" s="325"/>
      <c r="K103" s="340"/>
      <c r="L103" s="341" t="s">
        <v>347</v>
      </c>
      <c r="M103" s="342" t="str">
        <f aca="false">YEAR('LT records'!$B103)&amp;"-"&amp;MONTH('LT records'!$B103)</f>
        <v>2014-7</v>
      </c>
      <c r="N103" s="343" t="n">
        <f aca="false">'LT records'!$H103+'LT records'!$I103</f>
        <v>800</v>
      </c>
      <c r="O103" s="335"/>
      <c r="P103" s="335"/>
      <c r="Q103" s="336"/>
      <c r="R103" s="337"/>
      <c r="T103" s="327"/>
    </row>
    <row r="104" customFormat="false" ht="12.8" hidden="false" customHeight="false" outlineLevel="0" collapsed="false">
      <c r="B104" s="270" t="n">
        <v>41850</v>
      </c>
      <c r="C104" s="348" t="n">
        <f aca="false">YEAR('LT records'!$B104)</f>
        <v>2014</v>
      </c>
      <c r="D104" s="346" t="str">
        <f aca="false">'LT records'!$C104&amp;"-"&amp;MONTH('LT records'!$B104)</f>
        <v>2014-7</v>
      </c>
      <c r="E104" s="324" t="s">
        <v>355</v>
      </c>
      <c r="F104" s="324" t="str">
        <f aca="false">LEFT('LT records'!$E104,3)</f>
        <v>MyF</v>
      </c>
      <c r="G104" s="324" t="str">
        <f aca="false">IF(OR('LT records'!$F104="MyF", 'LT records'!$F104="DEP"),"DEP",IF('LT records'!$F104="CSH","CSH",IF('LT records'!$F104="BON","BND",IF('LT records'!$F104="Sma","MKT",IF(OR('LT records'!$F104="Val", 'LT records'!$F104="EUR"),"FCY",IF('LT records'!$F104="X-P","PP3",IF('LT records'!$F104="X-m","XAU","???")))))))</f>
        <v>DEP</v>
      </c>
      <c r="H104" s="325" t="n">
        <v>1000</v>
      </c>
      <c r="I104" s="340"/>
      <c r="J104" s="325"/>
      <c r="K104" s="340"/>
      <c r="L104" s="341" t="s">
        <v>356</v>
      </c>
      <c r="M104" s="342" t="str">
        <f aca="false">YEAR('LT records'!$B104)&amp;"-"&amp;MONTH('LT records'!$B104)</f>
        <v>2014-7</v>
      </c>
      <c r="N104" s="343" t="n">
        <f aca="false">'LT records'!$H104+'LT records'!$I104</f>
        <v>1000</v>
      </c>
      <c r="O104" s="335"/>
      <c r="P104" s="335"/>
      <c r="Q104" s="336"/>
      <c r="R104" s="337"/>
      <c r="T104" s="327"/>
    </row>
    <row r="105" customFormat="false" ht="12.8" hidden="false" customHeight="false" outlineLevel="0" collapsed="false">
      <c r="B105" s="270" t="n">
        <v>41862</v>
      </c>
      <c r="C105" s="348" t="n">
        <f aca="false">YEAR('LT records'!$B105)</f>
        <v>2014</v>
      </c>
      <c r="D105" s="346" t="str">
        <f aca="false">'LT records'!$C105&amp;"-"&amp;MONTH('LT records'!$B105)</f>
        <v>2014-8</v>
      </c>
      <c r="E105" s="324" t="s">
        <v>340</v>
      </c>
      <c r="F105" s="324" t="str">
        <f aca="false">LEFT('LT records'!$E105,3)</f>
        <v>MyF</v>
      </c>
      <c r="G105" s="324" t="str">
        <f aca="false">IF(OR('LT records'!$F105="MyF", 'LT records'!$F105="DEP"),"DEP",IF('LT records'!$F105="CSH","CSH",IF('LT records'!$F105="BON","BND",IF('LT records'!$F105="Sma","MKT",IF(OR('LT records'!$F105="Val", 'LT records'!$F105="EUR"),"FCY",IF('LT records'!$F105="X-P","PP3",IF('LT records'!$F105="X-m","XAU","???")))))))</f>
        <v>DEP</v>
      </c>
      <c r="H105" s="325" t="n">
        <v>500</v>
      </c>
      <c r="I105" s="340"/>
      <c r="J105" s="325"/>
      <c r="K105" s="340"/>
      <c r="L105" s="341" t="s">
        <v>347</v>
      </c>
      <c r="M105" s="342" t="str">
        <f aca="false">YEAR('LT records'!$B105)&amp;"-"&amp;MONTH('LT records'!$B105)</f>
        <v>2014-8</v>
      </c>
      <c r="N105" s="343" t="n">
        <f aca="false">'LT records'!$H105+'LT records'!$I105</f>
        <v>500</v>
      </c>
      <c r="O105" s="335"/>
      <c r="P105" s="335"/>
      <c r="Q105" s="336"/>
      <c r="R105" s="337"/>
      <c r="T105" s="327"/>
    </row>
    <row r="106" customFormat="false" ht="12.8" hidden="false" customHeight="false" outlineLevel="0" collapsed="false">
      <c r="B106" s="270" t="n">
        <v>41871</v>
      </c>
      <c r="C106" s="348" t="n">
        <f aca="false">YEAR('LT records'!$B106)</f>
        <v>2014</v>
      </c>
      <c r="D106" s="346" t="str">
        <f aca="false">'LT records'!$C106&amp;"-"&amp;MONTH('LT records'!$B106)</f>
        <v>2014-8</v>
      </c>
      <c r="E106" s="324" t="s">
        <v>344</v>
      </c>
      <c r="F106" s="324" t="str">
        <f aca="false">LEFT('LT records'!$E106,3)</f>
        <v>MyF</v>
      </c>
      <c r="G106" s="324" t="str">
        <f aca="false">IF(OR('LT records'!$F106="MyF", 'LT records'!$F106="DEP"),"DEP",IF('LT records'!$F106="CSH","CSH",IF('LT records'!$F106="BON","BND",IF('LT records'!$F106="Sma","MKT",IF(OR('LT records'!$F106="Val", 'LT records'!$F106="EUR"),"FCY",IF('LT records'!$F106="X-P","PP3",IF('LT records'!$F106="X-m","XAU","???")))))))</f>
        <v>DEP</v>
      </c>
      <c r="H106" s="325" t="n">
        <v>0</v>
      </c>
      <c r="I106" s="340" t="n">
        <v>71.99</v>
      </c>
      <c r="J106" s="325"/>
      <c r="K106" s="340"/>
      <c r="L106" s="341" t="s">
        <v>342</v>
      </c>
      <c r="M106" s="342" t="str">
        <f aca="false">YEAR('LT records'!$B106)&amp;"-"&amp;MONTH('LT records'!$B106)</f>
        <v>2014-8</v>
      </c>
      <c r="N106" s="343" t="n">
        <f aca="false">'LT records'!$H106+'LT records'!$I106</f>
        <v>71.99</v>
      </c>
      <c r="O106" s="335"/>
      <c r="P106" s="335"/>
      <c r="Q106" s="336"/>
      <c r="R106" s="337"/>
      <c r="T106" s="327"/>
    </row>
    <row r="107" customFormat="false" ht="12.8" hidden="false" customHeight="false" outlineLevel="0" collapsed="false">
      <c r="B107" s="270" t="n">
        <v>41872</v>
      </c>
      <c r="C107" s="348" t="n">
        <f aca="false">YEAR('LT records'!$B107)</f>
        <v>2014</v>
      </c>
      <c r="D107" s="346" t="str">
        <f aca="false">'LT records'!$C107&amp;"-"&amp;MONTH('LT records'!$B107)</f>
        <v>2014-8</v>
      </c>
      <c r="E107" s="324" t="s">
        <v>350</v>
      </c>
      <c r="F107" s="324" t="str">
        <f aca="false">LEFT('LT records'!$E107,3)</f>
        <v>MyF</v>
      </c>
      <c r="G107" s="324" t="str">
        <f aca="false">IF(OR('LT records'!$F107="MyF", 'LT records'!$F107="DEP"),"DEP",IF('LT records'!$F107="CSH","CSH",IF('LT records'!$F107="BON","BND",IF('LT records'!$F107="Sma","MKT",IF(OR('LT records'!$F107="Val", 'LT records'!$F107="EUR"),"FCY",IF('LT records'!$F107="X-P","PP3",IF('LT records'!$F107="X-m","XAU","???")))))))</f>
        <v>DEP</v>
      </c>
      <c r="H107" s="325" t="n">
        <v>495.36</v>
      </c>
      <c r="I107" s="340" t="n">
        <v>4.64</v>
      </c>
      <c r="J107" s="325"/>
      <c r="K107" s="340"/>
      <c r="L107" s="341" t="s">
        <v>357</v>
      </c>
      <c r="M107" s="342" t="str">
        <f aca="false">YEAR('LT records'!$B107)&amp;"-"&amp;MONTH('LT records'!$B107)</f>
        <v>2014-8</v>
      </c>
      <c r="N107" s="343" t="n">
        <f aca="false">'LT records'!$H107+'LT records'!$I107</f>
        <v>500</v>
      </c>
      <c r="O107" s="335"/>
      <c r="P107" s="335"/>
      <c r="Q107" s="336"/>
      <c r="R107" s="337"/>
      <c r="T107" s="327"/>
    </row>
    <row r="108" customFormat="false" ht="12.8" hidden="false" customHeight="false" outlineLevel="0" collapsed="false">
      <c r="B108" s="270" t="n">
        <v>41872</v>
      </c>
      <c r="C108" s="348" t="n">
        <f aca="false">YEAR('LT records'!$B108)</f>
        <v>2014</v>
      </c>
      <c r="D108" s="346" t="str">
        <f aca="false">'LT records'!$C108&amp;"-"&amp;MONTH('LT records'!$B108)</f>
        <v>2014-8</v>
      </c>
      <c r="E108" s="324" t="s">
        <v>350</v>
      </c>
      <c r="F108" s="324" t="str">
        <f aca="false">LEFT('LT records'!$E108,3)</f>
        <v>MyF</v>
      </c>
      <c r="G108" s="324" t="str">
        <f aca="false">IF(OR('LT records'!$F108="MyF", 'LT records'!$F108="DEP"),"DEP",IF('LT records'!$F108="CSH","CSH",IF('LT records'!$F108="BON","BND",IF('LT records'!$F108="Sma","MKT",IF(OR('LT records'!$F108="Val", 'LT records'!$F108="EUR"),"FCY",IF('LT records'!$F108="X-P","PP3",IF('LT records'!$F108="X-m","XAU","???")))))))</f>
        <v>DEP</v>
      </c>
      <c r="H108" s="325" t="n">
        <v>500</v>
      </c>
      <c r="I108" s="340"/>
      <c r="J108" s="325"/>
      <c r="K108" s="340"/>
      <c r="L108" s="341" t="s">
        <v>347</v>
      </c>
      <c r="M108" s="342" t="str">
        <f aca="false">YEAR('LT records'!$B108)&amp;"-"&amp;MONTH('LT records'!$B108)</f>
        <v>2014-8</v>
      </c>
      <c r="N108" s="343" t="n">
        <f aca="false">'LT records'!$H108+'LT records'!$I108</f>
        <v>500</v>
      </c>
      <c r="O108" s="335"/>
      <c r="P108" s="335"/>
      <c r="Q108" s="336"/>
      <c r="R108" s="337"/>
      <c r="T108" s="327"/>
    </row>
    <row r="109" customFormat="false" ht="12.8" hidden="false" customHeight="false" outlineLevel="0" collapsed="false">
      <c r="B109" s="270" t="n">
        <v>41878</v>
      </c>
      <c r="C109" s="348" t="n">
        <f aca="false">YEAR('LT records'!$B109)</f>
        <v>2014</v>
      </c>
      <c r="D109" s="346" t="str">
        <f aca="false">'LT records'!$C109&amp;"-"&amp;MONTH('LT records'!$B109)</f>
        <v>2014-8</v>
      </c>
      <c r="E109" s="324" t="s">
        <v>337</v>
      </c>
      <c r="F109" s="324" t="str">
        <f aca="false">LEFT('LT records'!$E109,3)</f>
        <v>MyF</v>
      </c>
      <c r="G109" s="324" t="str">
        <f aca="false">IF(OR('LT records'!$F109="MyF", 'LT records'!$F109="DEP"),"DEP",IF('LT records'!$F109="CSH","CSH",IF('LT records'!$F109="BON","BND",IF('LT records'!$F109="Sma","MKT",IF(OR('LT records'!$F109="Val", 'LT records'!$F109="EUR"),"FCY",IF('LT records'!$F109="X-P","PP3",IF('LT records'!$F109="X-m","XAU","???")))))))</f>
        <v>DEP</v>
      </c>
      <c r="H109" s="325" t="n">
        <v>0</v>
      </c>
      <c r="I109" s="340" t="n">
        <v>71.99</v>
      </c>
      <c r="J109" s="325"/>
      <c r="K109" s="340"/>
      <c r="L109" s="341" t="s">
        <v>342</v>
      </c>
      <c r="M109" s="342" t="str">
        <f aca="false">YEAR('LT records'!$B109)&amp;"-"&amp;MONTH('LT records'!$B109)</f>
        <v>2014-8</v>
      </c>
      <c r="N109" s="343" t="n">
        <f aca="false">'LT records'!$H109+'LT records'!$I109</f>
        <v>71.99</v>
      </c>
      <c r="O109" s="335"/>
      <c r="P109" s="335"/>
      <c r="Q109" s="336"/>
      <c r="R109" s="337"/>
      <c r="T109" s="327"/>
    </row>
    <row r="110" customFormat="false" ht="12.8" hidden="false" customHeight="false" outlineLevel="0" collapsed="false">
      <c r="B110" s="270" t="n">
        <v>41880</v>
      </c>
      <c r="C110" s="348" t="n">
        <f aca="false">YEAR('LT records'!$B110)</f>
        <v>2014</v>
      </c>
      <c r="D110" s="346" t="str">
        <f aca="false">'LT records'!$C110&amp;"-"&amp;MONTH('LT records'!$B110)</f>
        <v>2014-8</v>
      </c>
      <c r="E110" s="324" t="s">
        <v>355</v>
      </c>
      <c r="F110" s="324" t="str">
        <f aca="false">LEFT('LT records'!$E110,3)</f>
        <v>MyF</v>
      </c>
      <c r="G110" s="324" t="str">
        <f aca="false">IF(OR('LT records'!$F110="MyF", 'LT records'!$F110="DEP"),"DEP",IF('LT records'!$F110="CSH","CSH",IF('LT records'!$F110="BON","BND",IF('LT records'!$F110="Sma","MKT",IF(OR('LT records'!$F110="Val", 'LT records'!$F110="EUR"),"FCY",IF('LT records'!$F110="X-P","PP3",IF('LT records'!$F110="X-m","XAU","???")))))))</f>
        <v>DEP</v>
      </c>
      <c r="H110" s="325" t="n">
        <v>1997.76</v>
      </c>
      <c r="I110" s="340" t="n">
        <v>2.24</v>
      </c>
      <c r="J110" s="325"/>
      <c r="K110" s="340"/>
      <c r="L110" s="341" t="s">
        <v>342</v>
      </c>
      <c r="M110" s="342" t="str">
        <f aca="false">YEAR('LT records'!$B110)&amp;"-"&amp;MONTH('LT records'!$B110)</f>
        <v>2014-8</v>
      </c>
      <c r="N110" s="343" t="n">
        <f aca="false">'LT records'!$H110+'LT records'!$I110</f>
        <v>2000</v>
      </c>
      <c r="O110" s="335"/>
      <c r="P110" s="335"/>
      <c r="Q110" s="336"/>
      <c r="R110" s="337"/>
      <c r="T110" s="327"/>
    </row>
    <row r="111" customFormat="false" ht="12.8" hidden="false" customHeight="false" outlineLevel="0" collapsed="false">
      <c r="B111" s="270" t="n">
        <v>41893</v>
      </c>
      <c r="C111" s="348" t="n">
        <f aca="false">YEAR('LT records'!$B111)</f>
        <v>2014</v>
      </c>
      <c r="D111" s="346" t="str">
        <f aca="false">'LT records'!$C111&amp;"-"&amp;MONTH('LT records'!$B111)</f>
        <v>2014-9</v>
      </c>
      <c r="E111" s="324" t="s">
        <v>340</v>
      </c>
      <c r="F111" s="324" t="str">
        <f aca="false">LEFT('LT records'!$E111,3)</f>
        <v>MyF</v>
      </c>
      <c r="G111" s="324" t="str">
        <f aca="false">IF(OR('LT records'!$F111="MyF", 'LT records'!$F111="DEP"),"DEP",IF('LT records'!$F111="CSH","CSH",IF('LT records'!$F111="BON","BND",IF('LT records'!$F111="Sma","MKT",IF(OR('LT records'!$F111="Val", 'LT records'!$F111="EUR"),"FCY",IF('LT records'!$F111="X-P","PP3",IF('LT records'!$F111="X-m","XAU","???")))))))</f>
        <v>DEP</v>
      </c>
      <c r="H111" s="325" t="n">
        <v>1995.72</v>
      </c>
      <c r="I111" s="340" t="n">
        <v>4.28</v>
      </c>
      <c r="J111" s="325"/>
      <c r="K111" s="340"/>
      <c r="L111" s="341" t="s">
        <v>347</v>
      </c>
      <c r="M111" s="342" t="str">
        <f aca="false">YEAR('LT records'!$B111)&amp;"-"&amp;MONTH('LT records'!$B111)</f>
        <v>2014-9</v>
      </c>
      <c r="N111" s="343" t="n">
        <f aca="false">'LT records'!$H111+'LT records'!$I111</f>
        <v>2000</v>
      </c>
      <c r="O111" s="335"/>
      <c r="P111" s="335"/>
      <c r="Q111" s="336"/>
      <c r="R111" s="337"/>
      <c r="T111" s="327"/>
    </row>
    <row r="112" customFormat="false" ht="12.8" hidden="false" customHeight="false" outlineLevel="0" collapsed="false">
      <c r="B112" s="270" t="n">
        <v>41904</v>
      </c>
      <c r="C112" s="348" t="n">
        <f aca="false">YEAR('LT records'!$B112)</f>
        <v>2014</v>
      </c>
      <c r="D112" s="346" t="str">
        <f aca="false">'LT records'!$C112&amp;"-"&amp;MONTH('LT records'!$B112)</f>
        <v>2014-9</v>
      </c>
      <c r="E112" s="324" t="s">
        <v>350</v>
      </c>
      <c r="F112" s="324" t="str">
        <f aca="false">LEFT('LT records'!$E112,3)</f>
        <v>MyF</v>
      </c>
      <c r="G112" s="324" t="str">
        <f aca="false">IF(OR('LT records'!$F112="MyF", 'LT records'!$F112="DEP"),"DEP",IF('LT records'!$F112="CSH","CSH",IF('LT records'!$F112="BON","BND",IF('LT records'!$F112="Sma","MKT",IF(OR('LT records'!$F112="Val", 'LT records'!$F112="EUR"),"FCY",IF('LT records'!$F112="X-P","PP3",IF('LT records'!$F112="X-m","XAU","???")))))))</f>
        <v>DEP</v>
      </c>
      <c r="H112" s="325" t="n">
        <v>993.37</v>
      </c>
      <c r="I112" s="340" t="n">
        <v>6.63</v>
      </c>
      <c r="J112" s="325"/>
      <c r="K112" s="340"/>
      <c r="L112" s="341" t="s">
        <v>347</v>
      </c>
      <c r="M112" s="342" t="str">
        <f aca="false">YEAR('LT records'!$B112)&amp;"-"&amp;MONTH('LT records'!$B112)</f>
        <v>2014-9</v>
      </c>
      <c r="N112" s="343" t="n">
        <f aca="false">'LT records'!$H112+'LT records'!$I112</f>
        <v>1000</v>
      </c>
      <c r="O112" s="335"/>
      <c r="P112" s="335"/>
      <c r="Q112" s="336"/>
      <c r="R112" s="337"/>
      <c r="T112" s="327"/>
    </row>
    <row r="113" customFormat="false" ht="12.8" hidden="false" customHeight="false" outlineLevel="0" collapsed="false">
      <c r="B113" s="270" t="n">
        <v>41911</v>
      </c>
      <c r="C113" s="348" t="n">
        <f aca="false">YEAR('LT records'!$B113)</f>
        <v>2014</v>
      </c>
      <c r="D113" s="346" t="str">
        <f aca="false">'LT records'!$C113&amp;"-"&amp;MONTH('LT records'!$B113)</f>
        <v>2014-9</v>
      </c>
      <c r="E113" s="324" t="s">
        <v>355</v>
      </c>
      <c r="F113" s="324" t="str">
        <f aca="false">LEFT('LT records'!$E113,3)</f>
        <v>MyF</v>
      </c>
      <c r="G113" s="324" t="str">
        <f aca="false">IF(OR('LT records'!$F113="MyF", 'LT records'!$F113="DEP"),"DEP",IF('LT records'!$F113="CSH","CSH",IF('LT records'!$F113="BON","BND",IF('LT records'!$F113="Sma","MKT",IF(OR('LT records'!$F113="Val", 'LT records'!$F113="EUR"),"FCY",IF('LT records'!$F113="X-P","PP3",IF('LT records'!$F113="X-m","XAU","???")))))))</f>
        <v>DEP</v>
      </c>
      <c r="H113" s="325" t="n">
        <v>993.58</v>
      </c>
      <c r="I113" s="340" t="n">
        <v>6.42</v>
      </c>
      <c r="J113" s="325"/>
      <c r="K113" s="340"/>
      <c r="L113" s="341" t="s">
        <v>347</v>
      </c>
      <c r="M113" s="342" t="str">
        <f aca="false">YEAR('LT records'!$B113)&amp;"-"&amp;MONTH('LT records'!$B113)</f>
        <v>2014-9</v>
      </c>
      <c r="N113" s="343" t="n">
        <f aca="false">'LT records'!$H113+'LT records'!$I113</f>
        <v>1000</v>
      </c>
      <c r="O113" s="335"/>
      <c r="P113" s="335"/>
      <c r="Q113" s="336"/>
      <c r="R113" s="337"/>
      <c r="T113" s="327"/>
    </row>
    <row r="114" customFormat="false" ht="12.8" hidden="false" customHeight="false" outlineLevel="0" collapsed="false">
      <c r="B114" s="270" t="n">
        <v>41925</v>
      </c>
      <c r="C114" s="348" t="n">
        <f aca="false">YEAR('LT records'!$B114)</f>
        <v>2014</v>
      </c>
      <c r="D114" s="346" t="str">
        <f aca="false">'LT records'!$C114&amp;"-"&amp;MONTH('LT records'!$B114)</f>
        <v>2014-10</v>
      </c>
      <c r="E114" s="324" t="s">
        <v>340</v>
      </c>
      <c r="F114" s="324" t="str">
        <f aca="false">LEFT('LT records'!$E114,3)</f>
        <v>MyF</v>
      </c>
      <c r="G114" s="324" t="str">
        <f aca="false">IF(OR('LT records'!$F114="MyF", 'LT records'!$F114="DEP"),"DEP",IF('LT records'!$F114="CSH","CSH",IF('LT records'!$F114="BON","BND",IF('LT records'!$F114="Sma","MKT",IF(OR('LT records'!$F114="Val", 'LT records'!$F114="EUR"),"FCY",IF('LT records'!$F114="X-P","PP3",IF('LT records'!$F114="X-m","XAU","???")))))))</f>
        <v>DEP</v>
      </c>
      <c r="H114" s="325" t="n">
        <v>-8.54</v>
      </c>
      <c r="I114" s="340" t="n">
        <v>8.54</v>
      </c>
      <c r="J114" s="325"/>
      <c r="K114" s="340"/>
      <c r="L114" s="341" t="s">
        <v>342</v>
      </c>
      <c r="M114" s="342" t="str">
        <f aca="false">YEAR('LT records'!$B114)&amp;"-"&amp;MONTH('LT records'!$B114)</f>
        <v>2014-10</v>
      </c>
      <c r="N114" s="343" t="n">
        <f aca="false">'LT records'!$H114+'LT records'!$I114</f>
        <v>0</v>
      </c>
      <c r="O114" s="335"/>
      <c r="P114" s="335"/>
      <c r="Q114" s="336"/>
      <c r="R114" s="337"/>
      <c r="T114" s="327"/>
    </row>
    <row r="115" customFormat="false" ht="12.8" hidden="false" customHeight="false" outlineLevel="0" collapsed="false">
      <c r="B115" s="270" t="n">
        <v>41934</v>
      </c>
      <c r="C115" s="348" t="n">
        <f aca="false">YEAR('LT records'!$B115)</f>
        <v>2014</v>
      </c>
      <c r="D115" s="346" t="str">
        <f aca="false">'LT records'!$C115&amp;"-"&amp;MONTH('LT records'!$B115)</f>
        <v>2014-10</v>
      </c>
      <c r="E115" s="324" t="s">
        <v>350</v>
      </c>
      <c r="F115" s="324" t="str">
        <f aca="false">LEFT('LT records'!$E115,3)</f>
        <v>MyF</v>
      </c>
      <c r="G115" s="324" t="str">
        <f aca="false">IF(OR('LT records'!$F115="MyF", 'LT records'!$F115="DEP"),"DEP",IF('LT records'!$F115="CSH","CSH",IF('LT records'!$F115="BON","BND",IF('LT records'!$F115="Sma","MKT",IF(OR('LT records'!$F115="Val", 'LT records'!$F115="EUR"),"FCY",IF('LT records'!$F115="X-P","PP3",IF('LT records'!$F115="X-m","XAU","???")))))))</f>
        <v>DEP</v>
      </c>
      <c r="H115" s="325" t="n">
        <v>491.99</v>
      </c>
      <c r="I115" s="340" t="n">
        <v>8.01</v>
      </c>
      <c r="J115" s="325"/>
      <c r="K115" s="340"/>
      <c r="L115" s="341" t="s">
        <v>347</v>
      </c>
      <c r="M115" s="342" t="str">
        <f aca="false">YEAR('LT records'!$B115)&amp;"-"&amp;MONTH('LT records'!$B115)</f>
        <v>2014-10</v>
      </c>
      <c r="N115" s="343" t="n">
        <f aca="false">'LT records'!$H115+'LT records'!$I115</f>
        <v>500</v>
      </c>
      <c r="O115" s="335"/>
      <c r="P115" s="335"/>
      <c r="Q115" s="336"/>
      <c r="R115" s="337"/>
      <c r="T115" s="327"/>
    </row>
    <row r="116" customFormat="false" ht="12.8" hidden="false" customHeight="false" outlineLevel="0" collapsed="false">
      <c r="B116" s="270" t="n">
        <v>41941</v>
      </c>
      <c r="C116" s="348" t="n">
        <f aca="false">YEAR('LT records'!$B116)</f>
        <v>2014</v>
      </c>
      <c r="D116" s="346" t="str">
        <f aca="false">'LT records'!$C116&amp;"-"&amp;MONTH('LT records'!$B116)</f>
        <v>2014-10</v>
      </c>
      <c r="E116" s="324" t="s">
        <v>355</v>
      </c>
      <c r="F116" s="324" t="str">
        <f aca="false">LEFT('LT records'!$E116,3)</f>
        <v>MyF</v>
      </c>
      <c r="G116" s="324" t="str">
        <f aca="false">IF(OR('LT records'!$F116="MyF", 'LT records'!$F116="DEP"),"DEP",IF('LT records'!$F116="CSH","CSH",IF('LT records'!$F116="BON","BND",IF('LT records'!$F116="Sma","MKT",IF(OR('LT records'!$F116="Val", 'LT records'!$F116="EUR"),"FCY",IF('LT records'!$F116="X-P","PP3",IF('LT records'!$F116="X-m","XAU","???")))))))</f>
        <v>DEP</v>
      </c>
      <c r="H116" s="325" t="n">
        <v>491.99</v>
      </c>
      <c r="I116" s="340" t="n">
        <v>8.01</v>
      </c>
      <c r="J116" s="325"/>
      <c r="K116" s="340"/>
      <c r="L116" s="341" t="s">
        <v>347</v>
      </c>
      <c r="M116" s="342" t="str">
        <f aca="false">YEAR('LT records'!$B116)&amp;"-"&amp;MONTH('LT records'!$B116)</f>
        <v>2014-10</v>
      </c>
      <c r="N116" s="343" t="n">
        <f aca="false">'LT records'!$H116+'LT records'!$I116</f>
        <v>500</v>
      </c>
      <c r="O116" s="335"/>
      <c r="P116" s="335"/>
      <c r="Q116" s="336"/>
      <c r="R116" s="337"/>
      <c r="T116" s="327"/>
    </row>
    <row r="117" customFormat="false" ht="12.8" hidden="false" customHeight="false" outlineLevel="0" collapsed="false">
      <c r="B117" s="270" t="n">
        <v>41956</v>
      </c>
      <c r="C117" s="348" t="n">
        <f aca="false">YEAR('LT records'!$B117)</f>
        <v>2014</v>
      </c>
      <c r="D117" s="346" t="str">
        <f aca="false">'LT records'!$C117&amp;"-"&amp;MONTH('LT records'!$B117)</f>
        <v>2014-11</v>
      </c>
      <c r="E117" s="324" t="s">
        <v>340</v>
      </c>
      <c r="F117" s="324" t="str">
        <f aca="false">LEFT('LT records'!$E117,3)</f>
        <v>MyF</v>
      </c>
      <c r="G117" s="324" t="str">
        <f aca="false">IF(OR('LT records'!$F117="MyF", 'LT records'!$F117="DEP"),"DEP",IF('LT records'!$F117="CSH","CSH",IF('LT records'!$F117="BON","BND",IF('LT records'!$F117="Sma","MKT",IF(OR('LT records'!$F117="Val", 'LT records'!$F117="EUR"),"FCY",IF('LT records'!$F117="X-P","PP3",IF('LT records'!$F117="X-m","XAU","???")))))))</f>
        <v>DEP</v>
      </c>
      <c r="H117" s="325" t="n">
        <v>992.15</v>
      </c>
      <c r="I117" s="340" t="n">
        <v>7.85</v>
      </c>
      <c r="J117" s="325"/>
      <c r="K117" s="340"/>
      <c r="L117" s="341" t="s">
        <v>347</v>
      </c>
      <c r="M117" s="342" t="str">
        <f aca="false">YEAR('LT records'!$B117)&amp;"-"&amp;MONTH('LT records'!$B117)</f>
        <v>2014-11</v>
      </c>
      <c r="N117" s="343" t="n">
        <f aca="false">'LT records'!$H117+'LT records'!$I117</f>
        <v>1000</v>
      </c>
      <c r="O117" s="335"/>
      <c r="P117" s="335"/>
      <c r="Q117" s="336"/>
      <c r="R117" s="337"/>
      <c r="T117" s="327"/>
    </row>
    <row r="118" customFormat="false" ht="12.8" hidden="false" customHeight="false" outlineLevel="0" collapsed="false">
      <c r="B118" s="270" t="n">
        <v>41963</v>
      </c>
      <c r="C118" s="348" t="n">
        <f aca="false">YEAR('LT records'!$B118)</f>
        <v>2014</v>
      </c>
      <c r="D118" s="346" t="str">
        <f aca="false">'LT records'!$C118&amp;"-"&amp;MONTH('LT records'!$B118)</f>
        <v>2014-11</v>
      </c>
      <c r="E118" s="324" t="s">
        <v>344</v>
      </c>
      <c r="F118" s="324" t="str">
        <f aca="false">LEFT('LT records'!$E118,3)</f>
        <v>MyF</v>
      </c>
      <c r="G118" s="324" t="str">
        <f aca="false">IF(OR('LT records'!$F118="MyF", 'LT records'!$F118="DEP"),"DEP",IF('LT records'!$F118="CSH","CSH",IF('LT records'!$F118="BON","BND",IF('LT records'!$F118="Sma","MKT",IF(OR('LT records'!$F118="Val", 'LT records'!$F118="EUR"),"FCY",IF('LT records'!$F118="X-P","PP3",IF('LT records'!$F118="X-m","XAU","???")))))))</f>
        <v>DEP</v>
      </c>
      <c r="H118" s="325" t="n">
        <v>0</v>
      </c>
      <c r="I118" s="340" t="n">
        <f aca="false">79.97-12.8</f>
        <v>67.17</v>
      </c>
      <c r="J118" s="325"/>
      <c r="K118" s="340"/>
      <c r="L118" s="341" t="s">
        <v>342</v>
      </c>
      <c r="M118" s="342" t="str">
        <f aca="false">YEAR('LT records'!$B118)&amp;"-"&amp;MONTH('LT records'!$B118)</f>
        <v>2014-11</v>
      </c>
      <c r="N118" s="343" t="n">
        <f aca="false">'LT records'!$H118+'LT records'!$I118</f>
        <v>67.17</v>
      </c>
      <c r="O118" s="335"/>
      <c r="P118" s="335"/>
      <c r="Q118" s="336"/>
      <c r="R118" s="337"/>
      <c r="T118" s="327"/>
    </row>
    <row r="119" customFormat="false" ht="12.8" hidden="false" customHeight="false" outlineLevel="0" collapsed="false">
      <c r="B119" s="270" t="n">
        <v>41967</v>
      </c>
      <c r="C119" s="348" t="n">
        <f aca="false">YEAR('LT records'!$B119)</f>
        <v>2014</v>
      </c>
      <c r="D119" s="346" t="str">
        <f aca="false">'LT records'!$C119&amp;"-"&amp;MONTH('LT records'!$B119)</f>
        <v>2014-11</v>
      </c>
      <c r="E119" s="324" t="s">
        <v>350</v>
      </c>
      <c r="F119" s="324" t="str">
        <f aca="false">LEFT('LT records'!$E119,3)</f>
        <v>MyF</v>
      </c>
      <c r="G119" s="324" t="str">
        <f aca="false">IF(OR('LT records'!$F119="MyF", 'LT records'!$F119="DEP"),"DEP",IF('LT records'!$F119="CSH","CSH",IF('LT records'!$F119="BON","BND",IF('LT records'!$F119="Sma","MKT",IF(OR('LT records'!$F119="Val", 'LT records'!$F119="EUR"),"FCY",IF('LT records'!$F119="X-P","PP3",IF('LT records'!$F119="X-m","XAU","???")))))))</f>
        <v>DEP</v>
      </c>
      <c r="H119" s="325" t="n">
        <v>490.6</v>
      </c>
      <c r="I119" s="340" t="n">
        <v>9.4</v>
      </c>
      <c r="J119" s="325"/>
      <c r="K119" s="340"/>
      <c r="L119" s="341" t="s">
        <v>347</v>
      </c>
      <c r="M119" s="342" t="str">
        <f aca="false">YEAR('LT records'!$B119)&amp;"-"&amp;MONTH('LT records'!$B119)</f>
        <v>2014-11</v>
      </c>
      <c r="N119" s="343" t="n">
        <f aca="false">'LT records'!$H119+'LT records'!$I119</f>
        <v>500</v>
      </c>
      <c r="O119" s="335"/>
      <c r="P119" s="335"/>
      <c r="Q119" s="336"/>
      <c r="R119" s="337"/>
      <c r="T119" s="327"/>
    </row>
    <row r="120" customFormat="false" ht="12.8" hidden="false" customHeight="false" outlineLevel="0" collapsed="false">
      <c r="B120" s="270" t="n">
        <v>41970</v>
      </c>
      <c r="C120" s="348" t="n">
        <f aca="false">YEAR('LT records'!$B120)</f>
        <v>2014</v>
      </c>
      <c r="D120" s="346" t="str">
        <f aca="false">'LT records'!$C120&amp;"-"&amp;MONTH('LT records'!$B120)</f>
        <v>2014-11</v>
      </c>
      <c r="E120" s="324" t="s">
        <v>337</v>
      </c>
      <c r="F120" s="324" t="str">
        <f aca="false">LEFT('LT records'!$E120,3)</f>
        <v>MyF</v>
      </c>
      <c r="G120" s="324" t="str">
        <f aca="false">IF(OR('LT records'!$F120="MyF", 'LT records'!$F120="DEP"),"DEP",IF('LT records'!$F120="CSH","CSH",IF('LT records'!$F120="BON","BND",IF('LT records'!$F120="Sma","MKT",IF(OR('LT records'!$F120="Val", 'LT records'!$F120="EUR"),"FCY",IF('LT records'!$F120="X-P","PP3",IF('LT records'!$F120="X-m","XAU","???")))))))</f>
        <v>DEP</v>
      </c>
      <c r="H120" s="325" t="n">
        <v>0</v>
      </c>
      <c r="I120" s="340" t="n">
        <f aca="false">79.97-12.8</f>
        <v>67.17</v>
      </c>
      <c r="J120" s="325"/>
      <c r="K120" s="340"/>
      <c r="L120" s="341" t="s">
        <v>342</v>
      </c>
      <c r="M120" s="342" t="str">
        <f aca="false">YEAR('LT records'!$B120)&amp;"-"&amp;MONTH('LT records'!$B120)</f>
        <v>2014-11</v>
      </c>
      <c r="N120" s="343" t="n">
        <f aca="false">'LT records'!$H120+'LT records'!$I120</f>
        <v>67.17</v>
      </c>
      <c r="O120" s="335"/>
      <c r="P120" s="335"/>
      <c r="Q120" s="336"/>
      <c r="R120" s="337"/>
      <c r="T120" s="327"/>
    </row>
    <row r="121" customFormat="false" ht="12.8" hidden="false" customHeight="false" outlineLevel="0" collapsed="false">
      <c r="B121" s="270" t="n">
        <v>41971</v>
      </c>
      <c r="C121" s="348" t="n">
        <f aca="false">YEAR('LT records'!$B121)</f>
        <v>2014</v>
      </c>
      <c r="D121" s="346" t="str">
        <f aca="false">'LT records'!$C121&amp;"-"&amp;MONTH('LT records'!$B121)</f>
        <v>2014-11</v>
      </c>
      <c r="E121" s="324" t="s">
        <v>355</v>
      </c>
      <c r="F121" s="324" t="str">
        <f aca="false">LEFT('LT records'!$E121,3)</f>
        <v>MyF</v>
      </c>
      <c r="G121" s="324" t="str">
        <f aca="false">IF(OR('LT records'!$F121="MyF", 'LT records'!$F121="DEP"),"DEP",IF('LT records'!$F121="CSH","CSH",IF('LT records'!$F121="BON","BND",IF('LT records'!$F121="Sma","MKT",IF(OR('LT records'!$F121="Val", 'LT records'!$F121="EUR"),"FCY",IF('LT records'!$F121="X-P","PP3",IF('LT records'!$F121="X-m","XAU","???")))))))</f>
        <v>DEP</v>
      </c>
      <c r="H121" s="325" t="n">
        <f aca="false">1500-8.54</f>
        <v>1491.46</v>
      </c>
      <c r="I121" s="340" t="n">
        <v>8.54</v>
      </c>
      <c r="J121" s="325"/>
      <c r="K121" s="340"/>
      <c r="L121" s="341" t="s">
        <v>347</v>
      </c>
      <c r="M121" s="342" t="str">
        <f aca="false">YEAR('LT records'!$B121)&amp;"-"&amp;MONTH('LT records'!$B121)</f>
        <v>2014-11</v>
      </c>
      <c r="N121" s="343" t="n">
        <f aca="false">'LT records'!$H121+'LT records'!$I121</f>
        <v>1500</v>
      </c>
      <c r="O121" s="335"/>
      <c r="P121" s="335"/>
      <c r="Q121" s="336"/>
      <c r="R121" s="337"/>
      <c r="T121" s="327"/>
    </row>
    <row r="122" customFormat="false" ht="12.8" hidden="false" customHeight="false" outlineLevel="0" collapsed="false">
      <c r="B122" s="270" t="n">
        <v>41988</v>
      </c>
      <c r="C122" s="348" t="n">
        <f aca="false">YEAR('LT records'!$B122)</f>
        <v>2014</v>
      </c>
      <c r="D122" s="346" t="str">
        <f aca="false">'LT records'!$C122&amp;"-"&amp;MONTH('LT records'!$B122)</f>
        <v>2014-12</v>
      </c>
      <c r="E122" s="324" t="s">
        <v>340</v>
      </c>
      <c r="F122" s="324" t="str">
        <f aca="false">LEFT('LT records'!$E122,3)</f>
        <v>MyF</v>
      </c>
      <c r="G122" s="324" t="str">
        <f aca="false">IF(OR('LT records'!$F122="MyF", 'LT records'!$F122="DEP"),"DEP",IF('LT records'!$F122="CSH","CSH",IF('LT records'!$F122="BON","BND",IF('LT records'!$F122="Sma","MKT",IF(OR('LT records'!$F122="Val", 'LT records'!$F122="EUR"),"FCY",IF('LT records'!$F122="X-P","PP3",IF('LT records'!$F122="X-m","XAU","???")))))))</f>
        <v>DEP</v>
      </c>
      <c r="H122" s="325" t="n">
        <v>-4009.21</v>
      </c>
      <c r="I122" s="340" t="n">
        <v>9.21</v>
      </c>
      <c r="J122" s="325"/>
      <c r="K122" s="340"/>
      <c r="L122" s="341" t="s">
        <v>347</v>
      </c>
      <c r="M122" s="342" t="str">
        <f aca="false">YEAR('LT records'!$B122)&amp;"-"&amp;MONTH('LT records'!$B122)</f>
        <v>2014-12</v>
      </c>
      <c r="N122" s="343" t="n">
        <f aca="false">'LT records'!$H122+'LT records'!$I122</f>
        <v>-4000</v>
      </c>
      <c r="O122" s="335"/>
      <c r="P122" s="335"/>
      <c r="Q122" s="336"/>
      <c r="R122" s="337"/>
      <c r="T122" s="327"/>
    </row>
    <row r="123" customFormat="false" ht="12.8" hidden="false" customHeight="false" outlineLevel="0" collapsed="false">
      <c r="B123" s="270" t="n">
        <v>41988</v>
      </c>
      <c r="C123" s="348" t="n">
        <f aca="false">YEAR('LT records'!$B123)</f>
        <v>2014</v>
      </c>
      <c r="D123" s="346" t="str">
        <f aca="false">'LT records'!$C123&amp;"-"&amp;MONTH('LT records'!$B123)</f>
        <v>2014-12</v>
      </c>
      <c r="E123" s="324" t="s">
        <v>358</v>
      </c>
      <c r="F123" s="324" t="str">
        <f aca="false">LEFT('LT records'!$E123,3)</f>
        <v>in</v>
      </c>
      <c r="G123" s="324" t="str">
        <f aca="false">IF(OR('LT records'!$F123="MyF", 'LT records'!$F123="DEP"),"DEP",IF('LT records'!$F123="CSH","CSH",IF('LT records'!$F123="BON","BND",IF('LT records'!$F123="Sma","MKT",IF(OR('LT records'!$F123="Val", 'LT records'!$F123="EUR"),"FCY",IF('LT records'!$F123="X-P","PP3",IF('LT records'!$F123="X-m","XAU","???")))))))</f>
        <v>???</v>
      </c>
      <c r="H123" s="325" t="n">
        <v>4000</v>
      </c>
      <c r="I123" s="340"/>
      <c r="J123" s="325"/>
      <c r="K123" s="340"/>
      <c r="L123" s="341" t="s">
        <v>359</v>
      </c>
      <c r="M123" s="342" t="str">
        <f aca="false">YEAR('LT records'!$B123)&amp;"-"&amp;MONTH('LT records'!$B123)</f>
        <v>2014-12</v>
      </c>
      <c r="N123" s="343" t="n">
        <f aca="false">'LT records'!$H123+'LT records'!$I123</f>
        <v>4000</v>
      </c>
      <c r="O123" s="335"/>
      <c r="P123" s="335"/>
      <c r="Q123" s="336"/>
      <c r="R123" s="337"/>
      <c r="T123" s="327"/>
    </row>
    <row r="124" customFormat="false" ht="12.8" hidden="false" customHeight="false" outlineLevel="0" collapsed="false">
      <c r="B124" s="270" t="n">
        <v>41994</v>
      </c>
      <c r="C124" s="348" t="n">
        <f aca="false">YEAR('LT records'!$B124)</f>
        <v>2014</v>
      </c>
      <c r="D124" s="346" t="str">
        <f aca="false">'LT records'!$C124&amp;"-"&amp;MONTH('LT records'!$B124)</f>
        <v>2014-12</v>
      </c>
      <c r="E124" s="324" t="s">
        <v>360</v>
      </c>
      <c r="F124" s="324" t="str">
        <f aca="false">LEFT('LT records'!$E124,3)</f>
        <v>MyF</v>
      </c>
      <c r="G124" s="324" t="str">
        <f aca="false">IF(OR('LT records'!$F124="MyF", 'LT records'!$F124="DEP"),"DEP",IF('LT records'!$F124="CSH","CSH",IF('LT records'!$F124="BON","BND",IF('LT records'!$F124="Sma","MKT",IF(OR('LT records'!$F124="Val", 'LT records'!$F124="EUR"),"FCY",IF('LT records'!$F124="X-P","PP3",IF('LT records'!$F124="X-m","XAU","???")))))))</f>
        <v>DEP</v>
      </c>
      <c r="H124" s="325" t="n">
        <v>1000</v>
      </c>
      <c r="I124" s="340"/>
      <c r="J124" s="325"/>
      <c r="K124" s="340"/>
      <c r="L124" s="341" t="s">
        <v>356</v>
      </c>
      <c r="M124" s="342" t="str">
        <f aca="false">YEAR('LT records'!$B124)&amp;"-"&amp;MONTH('LT records'!$B124)</f>
        <v>2014-12</v>
      </c>
      <c r="N124" s="343" t="n">
        <f aca="false">'LT records'!$H124+'LT records'!$I124</f>
        <v>1000</v>
      </c>
      <c r="O124" s="335"/>
      <c r="P124" s="335"/>
      <c r="Q124" s="336"/>
      <c r="R124" s="337"/>
      <c r="T124" s="327"/>
    </row>
    <row r="125" customFormat="false" ht="12.8" hidden="false" customHeight="false" outlineLevel="0" collapsed="false">
      <c r="B125" s="270" t="n">
        <v>41997</v>
      </c>
      <c r="C125" s="348" t="n">
        <f aca="false">YEAR('LT records'!$B125)</f>
        <v>2014</v>
      </c>
      <c r="D125" s="346" t="str">
        <f aca="false">'LT records'!$C125&amp;"-"&amp;MONTH('LT records'!$B125)</f>
        <v>2014-12</v>
      </c>
      <c r="E125" s="324" t="s">
        <v>358</v>
      </c>
      <c r="F125" s="324" t="str">
        <f aca="false">LEFT('LT records'!$E125,3)</f>
        <v>in</v>
      </c>
      <c r="G125" s="324" t="str">
        <f aca="false">IF(OR('LT records'!$F125="MyF", 'LT records'!$F125="DEP"),"DEP",IF('LT records'!$F125="CSH","CSH",IF('LT records'!$F125="BON","BND",IF('LT records'!$F125="Sma","MKT",IF(OR('LT records'!$F125="Val", 'LT records'!$F125="EUR"),"FCY",IF('LT records'!$F125="X-P","PP3",IF('LT records'!$F125="X-m","XAU","???")))))))</f>
        <v>???</v>
      </c>
      <c r="H125" s="325" t="n">
        <v>-4000</v>
      </c>
      <c r="I125" s="340"/>
      <c r="J125" s="325"/>
      <c r="K125" s="340"/>
      <c r="L125" s="341" t="s">
        <v>361</v>
      </c>
      <c r="M125" s="342" t="str">
        <f aca="false">YEAR('LT records'!$B125)&amp;"-"&amp;MONTH('LT records'!$B125)</f>
        <v>2014-12</v>
      </c>
      <c r="N125" s="343" t="n">
        <f aca="false">'LT records'!$H125+'LT records'!$I125</f>
        <v>-4000</v>
      </c>
      <c r="O125" s="335"/>
      <c r="P125" s="335"/>
      <c r="Q125" s="336"/>
      <c r="R125" s="337"/>
      <c r="T125" s="327"/>
    </row>
    <row r="126" customFormat="false" ht="12.8" hidden="false" customHeight="false" outlineLevel="0" collapsed="false">
      <c r="B126" s="270" t="n">
        <v>41997</v>
      </c>
      <c r="C126" s="348" t="n">
        <f aca="false">YEAR('LT records'!$B126)</f>
        <v>2014</v>
      </c>
      <c r="D126" s="346" t="str">
        <f aca="false">'LT records'!$C126&amp;"-"&amp;MONTH('LT records'!$B126)</f>
        <v>2014-12</v>
      </c>
      <c r="E126" s="324" t="s">
        <v>350</v>
      </c>
      <c r="F126" s="324" t="str">
        <f aca="false">LEFT('LT records'!$E126,3)</f>
        <v>MyF</v>
      </c>
      <c r="G126" s="324" t="str">
        <f aca="false">IF(OR('LT records'!$F126="MyF", 'LT records'!$F126="DEP"),"DEP",IF('LT records'!$F126="CSH","CSH",IF('LT records'!$F126="BON","BND",IF('LT records'!$F126="Sma","MKT",IF(OR('LT records'!$F126="Val", 'LT records'!$F126="EUR"),"FCY",IF('LT records'!$F126="X-P","PP3",IF('LT records'!$F126="X-m","XAU","???")))))))</f>
        <v>DEP</v>
      </c>
      <c r="H126" s="325" t="n">
        <f aca="false">5000-8.63</f>
        <v>4991.37</v>
      </c>
      <c r="I126" s="340" t="n">
        <v>8.63</v>
      </c>
      <c r="J126" s="325"/>
      <c r="K126" s="340"/>
      <c r="L126" s="341" t="s">
        <v>362</v>
      </c>
      <c r="M126" s="342" t="str">
        <f aca="false">YEAR('LT records'!$B126)&amp;"-"&amp;MONTH('LT records'!$B126)</f>
        <v>2014-12</v>
      </c>
      <c r="N126" s="343" t="n">
        <f aca="false">'LT records'!$H126+'LT records'!$I126</f>
        <v>5000</v>
      </c>
      <c r="O126" s="335"/>
      <c r="P126" s="335"/>
      <c r="Q126" s="336"/>
      <c r="R126" s="337"/>
      <c r="T126" s="327"/>
    </row>
    <row r="127" customFormat="false" ht="12.8" hidden="false" customHeight="false" outlineLevel="0" collapsed="false">
      <c r="B127" s="270" t="n">
        <v>42002</v>
      </c>
      <c r="C127" s="348" t="n">
        <f aca="false">YEAR('LT records'!$B127)</f>
        <v>2014</v>
      </c>
      <c r="D127" s="346" t="str">
        <f aca="false">'LT records'!$C127&amp;"-"&amp;MONTH('LT records'!$B127)</f>
        <v>2014-12</v>
      </c>
      <c r="E127" s="324" t="s">
        <v>355</v>
      </c>
      <c r="F127" s="324" t="str">
        <f aca="false">LEFT('LT records'!$E127,3)</f>
        <v>MyF</v>
      </c>
      <c r="G127" s="324" t="str">
        <f aca="false">IF(OR('LT records'!$F127="MyF", 'LT records'!$F127="DEP"),"DEP",IF('LT records'!$F127="CSH","CSH",IF('LT records'!$F127="BON","BND",IF('LT records'!$F127="Sma","MKT",IF(OR('LT records'!$F127="Val", 'LT records'!$F127="EUR"),"FCY",IF('LT records'!$F127="X-P","PP3",IF('LT records'!$F127="X-m","XAU","???")))))))</f>
        <v>DEP</v>
      </c>
      <c r="H127" s="325" t="n">
        <v>-10.7</v>
      </c>
      <c r="I127" s="340" t="n">
        <v>10.7</v>
      </c>
      <c r="J127" s="325"/>
      <c r="K127" s="340"/>
      <c r="L127" s="341" t="s">
        <v>354</v>
      </c>
      <c r="M127" s="342" t="str">
        <f aca="false">YEAR('LT records'!$B127)&amp;"-"&amp;MONTH('LT records'!$B127)</f>
        <v>2014-12</v>
      </c>
      <c r="N127" s="343" t="n">
        <f aca="false">'LT records'!$H127+'LT records'!$I127</f>
        <v>0</v>
      </c>
      <c r="O127" s="335"/>
      <c r="P127" s="335"/>
      <c r="Q127" s="336"/>
      <c r="R127" s="337"/>
      <c r="T127" s="327"/>
    </row>
    <row r="128" customFormat="false" ht="12.8" hidden="false" customHeight="false" outlineLevel="0" collapsed="false">
      <c r="B128" s="270" t="n">
        <v>42019</v>
      </c>
      <c r="C128" s="348" t="n">
        <f aca="false">YEAR('LT records'!$B128)</f>
        <v>2015</v>
      </c>
      <c r="D128" s="346" t="str">
        <f aca="false">'LT records'!$C128&amp;"-"&amp;MONTH('LT records'!$B128)</f>
        <v>2015-1</v>
      </c>
      <c r="E128" s="324" t="s">
        <v>340</v>
      </c>
      <c r="F128" s="324" t="str">
        <f aca="false">LEFT('LT records'!$E128,3)</f>
        <v>MyF</v>
      </c>
      <c r="G128" s="324" t="str">
        <f aca="false">IF(OR('LT records'!$F128="MyF", 'LT records'!$F128="DEP"),"DEP",IF('LT records'!$F128="CSH","CSH",IF('LT records'!$F128="BON","BND",IF('LT records'!$F128="Sma","MKT",IF(OR('LT records'!$F128="Val", 'LT records'!$F128="EUR"),"FCY",IF('LT records'!$F128="X-P","PP3",IF('LT records'!$F128="X-m","XAU","???")))))))</f>
        <v>DEP</v>
      </c>
      <c r="H128" s="325" t="n">
        <v>-1.6</v>
      </c>
      <c r="I128" s="340" t="n">
        <v>1.6</v>
      </c>
      <c r="J128" s="325"/>
      <c r="K128" s="340"/>
      <c r="L128" s="341" t="s">
        <v>347</v>
      </c>
      <c r="M128" s="342" t="str">
        <f aca="false">YEAR('LT records'!$B128)&amp;"-"&amp;MONTH('LT records'!$B128)</f>
        <v>2015-1</v>
      </c>
      <c r="N128" s="343" t="n">
        <f aca="false">'LT records'!$H128+'LT records'!$I128</f>
        <v>0</v>
      </c>
      <c r="O128" s="335"/>
      <c r="P128" s="335"/>
      <c r="Q128" s="336"/>
      <c r="R128" s="337"/>
      <c r="T128" s="327"/>
    </row>
    <row r="129" customFormat="false" ht="12.8" hidden="false" customHeight="false" outlineLevel="0" collapsed="false">
      <c r="B129" s="270" t="n">
        <v>42021</v>
      </c>
      <c r="C129" s="348" t="n">
        <f aca="false">YEAR('LT records'!$B129)</f>
        <v>2015</v>
      </c>
      <c r="D129" s="346" t="str">
        <f aca="false">'LT records'!$C129&amp;"-"&amp;MONTH('LT records'!$B129)</f>
        <v>2015-1</v>
      </c>
      <c r="E129" s="324" t="s">
        <v>340</v>
      </c>
      <c r="F129" s="324" t="str">
        <f aca="false">LEFT('LT records'!$E129,3)</f>
        <v>MyF</v>
      </c>
      <c r="G129" s="324" t="str">
        <f aca="false">IF(OR('LT records'!$F129="MyF", 'LT records'!$F129="DEP"),"DEP",IF('LT records'!$F129="CSH","CSH",IF('LT records'!$F129="BON","BND",IF('LT records'!$F129="Sma","MKT",IF(OR('LT records'!$F129="Val", 'LT records'!$F129="EUR"),"FCY",IF('LT records'!$F129="X-P","PP3",IF('LT records'!$F129="X-m","XAU","???")))))))</f>
        <v>DEP</v>
      </c>
      <c r="H129" s="325" t="n">
        <v>1500</v>
      </c>
      <c r="I129" s="340"/>
      <c r="J129" s="325"/>
      <c r="K129" s="340"/>
      <c r="L129" s="341" t="s">
        <v>347</v>
      </c>
      <c r="M129" s="342" t="str">
        <f aca="false">YEAR('LT records'!$B129)&amp;"-"&amp;MONTH('LT records'!$B129)</f>
        <v>2015-1</v>
      </c>
      <c r="N129" s="343" t="n">
        <f aca="false">'LT records'!$H129+'LT records'!$I129</f>
        <v>1500</v>
      </c>
      <c r="O129" s="335"/>
      <c r="P129" s="335"/>
      <c r="Q129" s="336"/>
      <c r="R129" s="337"/>
      <c r="T129" s="327"/>
    </row>
    <row r="130" customFormat="false" ht="12.8" hidden="false" customHeight="false" outlineLevel="0" collapsed="false">
      <c r="B130" s="270" t="n">
        <v>42026</v>
      </c>
      <c r="C130" s="348" t="n">
        <f aca="false">YEAR('LT records'!$B130)</f>
        <v>2015</v>
      </c>
      <c r="D130" s="346" t="str">
        <f aca="false">'LT records'!$C130&amp;"-"&amp;MONTH('LT records'!$B130)</f>
        <v>2015-1</v>
      </c>
      <c r="E130" s="324" t="s">
        <v>360</v>
      </c>
      <c r="F130" s="324" t="str">
        <f aca="false">LEFT('LT records'!$E130,3)</f>
        <v>MyF</v>
      </c>
      <c r="G130" s="324" t="str">
        <f aca="false">IF(OR('LT records'!$F130="MyF", 'LT records'!$F130="DEP"),"DEP",IF('LT records'!$F130="CSH","CSH",IF('LT records'!$F130="BON","BND",IF('LT records'!$F130="Sma","MKT",IF(OR('LT records'!$F130="Val", 'LT records'!$F130="EUR"),"FCY",IF('LT records'!$F130="X-P","PP3",IF('LT records'!$F130="X-m","XAU","???")))))))</f>
        <v>DEP</v>
      </c>
      <c r="H130" s="325" t="n">
        <v>1498.4</v>
      </c>
      <c r="I130" s="340" t="n">
        <v>1.6</v>
      </c>
      <c r="J130" s="325"/>
      <c r="K130" s="340"/>
      <c r="L130" s="341" t="s">
        <v>347</v>
      </c>
      <c r="M130" s="342" t="str">
        <f aca="false">YEAR('LT records'!$B130)&amp;"-"&amp;MONTH('LT records'!$B130)</f>
        <v>2015-1</v>
      </c>
      <c r="N130" s="343" t="n">
        <f aca="false">'LT records'!$H130+'LT records'!$I130</f>
        <v>1500</v>
      </c>
      <c r="O130" s="335"/>
      <c r="P130" s="335"/>
      <c r="Q130" s="336"/>
      <c r="R130" s="337"/>
      <c r="T130" s="327"/>
    </row>
    <row r="131" customFormat="false" ht="12.8" hidden="false" customHeight="false" outlineLevel="0" collapsed="false">
      <c r="B131" s="270" t="n">
        <v>42033</v>
      </c>
      <c r="C131" s="348" t="n">
        <f aca="false">YEAR('LT records'!$B131)</f>
        <v>2015</v>
      </c>
      <c r="D131" s="346" t="str">
        <f aca="false">'LT records'!$C131&amp;"-"&amp;MONTH('LT records'!$B131)</f>
        <v>2015-1</v>
      </c>
      <c r="E131" s="324" t="s">
        <v>355</v>
      </c>
      <c r="F131" s="324" t="str">
        <f aca="false">LEFT('LT records'!$E131,3)</f>
        <v>MyF</v>
      </c>
      <c r="G131" s="324" t="str">
        <f aca="false">IF(OR('LT records'!$F131="MyF", 'LT records'!$F131="DEP"),"DEP",IF('LT records'!$F131="CSH","CSH",IF('LT records'!$F131="BON","BND",IF('LT records'!$F131="Sma","MKT",IF(OR('LT records'!$F131="Val", 'LT records'!$F131="EUR"),"FCY",IF('LT records'!$F131="X-P","PP3",IF('LT records'!$F131="X-m","XAU","???")))))))</f>
        <v>DEP</v>
      </c>
      <c r="H131" s="325" t="n">
        <v>490.37</v>
      </c>
      <c r="I131" s="340" t="n">
        <v>9.63</v>
      </c>
      <c r="J131" s="325"/>
      <c r="K131" s="340"/>
      <c r="L131" s="341" t="s">
        <v>342</v>
      </c>
      <c r="M131" s="342" t="str">
        <f aca="false">YEAR('LT records'!$B131)&amp;"-"&amp;MONTH('LT records'!$B131)</f>
        <v>2015-1</v>
      </c>
      <c r="N131" s="343" t="n">
        <f aca="false">'LT records'!$H131+'LT records'!$I131</f>
        <v>500</v>
      </c>
      <c r="O131" s="335"/>
      <c r="P131" s="335"/>
      <c r="Q131" s="336"/>
      <c r="R131" s="337"/>
      <c r="T131" s="327"/>
    </row>
    <row r="132" customFormat="false" ht="12.8" hidden="false" customHeight="false" outlineLevel="0" collapsed="false">
      <c r="B132" s="270" t="n">
        <v>42054</v>
      </c>
      <c r="C132" s="348" t="n">
        <f aca="false">YEAR('LT records'!$B132)</f>
        <v>2015</v>
      </c>
      <c r="D132" s="346" t="str">
        <f aca="false">'LT records'!$C132&amp;"-"&amp;MONTH('LT records'!$B132)</f>
        <v>2015-2</v>
      </c>
      <c r="E132" s="324" t="s">
        <v>340</v>
      </c>
      <c r="F132" s="324" t="str">
        <f aca="false">LEFT('LT records'!$E132,3)</f>
        <v>MyF</v>
      </c>
      <c r="G132" s="324" t="str">
        <f aca="false">IF(OR('LT records'!$F132="MyF", 'LT records'!$F132="DEP"),"DEP",IF('LT records'!$F132="CSH","CSH",IF('LT records'!$F132="BON","BND",IF('LT records'!$F132="Sma","MKT",IF(OR('LT records'!$F132="Val", 'LT records'!$F132="EUR"),"FCY",IF('LT records'!$F132="X-P","PP3",IF('LT records'!$F132="X-m","XAU","???")))))))</f>
        <v>DEP</v>
      </c>
      <c r="H132" s="325" t="n">
        <v>1496.43</v>
      </c>
      <c r="I132" s="340" t="n">
        <v>3.57</v>
      </c>
      <c r="J132" s="325"/>
      <c r="K132" s="340"/>
      <c r="L132" s="341" t="s">
        <v>347</v>
      </c>
      <c r="M132" s="342" t="str">
        <f aca="false">YEAR('LT records'!$B132)&amp;"-"&amp;MONTH('LT records'!$B132)</f>
        <v>2015-2</v>
      </c>
      <c r="N132" s="343" t="n">
        <f aca="false">'LT records'!$H132+'LT records'!$I132</f>
        <v>1500</v>
      </c>
      <c r="O132" s="335"/>
      <c r="P132" s="335"/>
      <c r="Q132" s="336"/>
      <c r="R132" s="337"/>
      <c r="T132" s="327"/>
    </row>
    <row r="133" customFormat="false" ht="12.8" hidden="false" customHeight="false" outlineLevel="0" collapsed="false">
      <c r="B133" s="270" t="n">
        <v>42055</v>
      </c>
      <c r="C133" s="348" t="n">
        <f aca="false">YEAR('LT records'!$B133)</f>
        <v>2015</v>
      </c>
      <c r="D133" s="346" t="str">
        <f aca="false">'LT records'!$C133&amp;"-"&amp;MONTH('LT records'!$B133)</f>
        <v>2015-2</v>
      </c>
      <c r="E133" s="324" t="s">
        <v>344</v>
      </c>
      <c r="F133" s="324" t="str">
        <f aca="false">LEFT('LT records'!$E133,3)</f>
        <v>MyF</v>
      </c>
      <c r="G133" s="324" t="str">
        <f aca="false">IF(OR('LT records'!$F133="MyF", 'LT records'!$F133="DEP"),"DEP",IF('LT records'!$F133="CSH","CSH",IF('LT records'!$F133="BON","BND",IF('LT records'!$F133="Sma","MKT",IF(OR('LT records'!$F133="Val", 'LT records'!$F133="EUR"),"FCY",IF('LT records'!$F133="X-P","PP3",IF('LT records'!$F133="X-m","XAU","???")))))))</f>
        <v>DEP</v>
      </c>
      <c r="H133" s="325" t="n">
        <v>0</v>
      </c>
      <c r="I133" s="340" t="n">
        <f aca="false">67.72-10.84</f>
        <v>56.88</v>
      </c>
      <c r="J133" s="325"/>
      <c r="K133" s="340"/>
      <c r="L133" s="341" t="s">
        <v>342</v>
      </c>
      <c r="M133" s="342" t="str">
        <f aca="false">YEAR('LT records'!$B133)&amp;"-"&amp;MONTH('LT records'!$B133)</f>
        <v>2015-2</v>
      </c>
      <c r="N133" s="343" t="n">
        <f aca="false">'LT records'!$H133+'LT records'!$I133</f>
        <v>56.88</v>
      </c>
      <c r="O133" s="335"/>
      <c r="P133" s="335"/>
      <c r="Q133" s="336"/>
      <c r="R133" s="337"/>
      <c r="T133" s="327"/>
    </row>
    <row r="134" customFormat="false" ht="12.8" hidden="false" customHeight="false" outlineLevel="0" collapsed="false">
      <c r="B134" s="270" t="n">
        <v>42058</v>
      </c>
      <c r="C134" s="348" t="n">
        <f aca="false">YEAR('LT records'!$B134)</f>
        <v>2015</v>
      </c>
      <c r="D134" s="346" t="str">
        <f aca="false">'LT records'!$C134&amp;"-"&amp;MONTH('LT records'!$B134)</f>
        <v>2015-2</v>
      </c>
      <c r="E134" s="324" t="s">
        <v>360</v>
      </c>
      <c r="F134" s="324" t="str">
        <f aca="false">LEFT('LT records'!$E134,3)</f>
        <v>MyF</v>
      </c>
      <c r="G134" s="324" t="str">
        <f aca="false">IF(OR('LT records'!$F134="MyF", 'LT records'!$F134="DEP"),"DEP",IF('LT records'!$F134="CSH","CSH",IF('LT records'!$F134="BON","BND",IF('LT records'!$F134="Sma","MKT",IF(OR('LT records'!$F134="Val", 'LT records'!$F134="EUR"),"FCY",IF('LT records'!$F134="X-P","PP3",IF('LT records'!$F134="X-m","XAU","???")))))))</f>
        <v>DEP</v>
      </c>
      <c r="H134" s="325" t="n">
        <f aca="false">500-3.68</f>
        <v>496.32</v>
      </c>
      <c r="I134" s="340" t="n">
        <v>3.68</v>
      </c>
      <c r="J134" s="325"/>
      <c r="K134" s="340"/>
      <c r="L134" s="341" t="s">
        <v>347</v>
      </c>
      <c r="M134" s="342" t="str">
        <f aca="false">YEAR('LT records'!$B134)&amp;"-"&amp;MONTH('LT records'!$B134)</f>
        <v>2015-2</v>
      </c>
      <c r="N134" s="343" t="n">
        <f aca="false">'LT records'!$H134+'LT records'!$I134</f>
        <v>500</v>
      </c>
      <c r="O134" s="335"/>
      <c r="P134" s="335"/>
      <c r="Q134" s="336"/>
      <c r="R134" s="337"/>
      <c r="T134" s="327"/>
    </row>
    <row r="135" customFormat="false" ht="12.8" hidden="false" customHeight="false" outlineLevel="0" collapsed="false">
      <c r="B135" s="270" t="n">
        <v>42062</v>
      </c>
      <c r="C135" s="348" t="n">
        <f aca="false">YEAR('LT records'!$B135)</f>
        <v>2015</v>
      </c>
      <c r="D135" s="346" t="str">
        <f aca="false">'LT records'!$C135&amp;"-"&amp;MONTH('LT records'!$B135)</f>
        <v>2015-2</v>
      </c>
      <c r="E135" s="324" t="s">
        <v>337</v>
      </c>
      <c r="F135" s="324" t="str">
        <f aca="false">LEFT('LT records'!$E135,3)</f>
        <v>MyF</v>
      </c>
      <c r="G135" s="324" t="str">
        <f aca="false">IF(OR('LT records'!$F135="MyF", 'LT records'!$F135="DEP"),"DEP",IF('LT records'!$F135="CSH","CSH",IF('LT records'!$F135="BON","BND",IF('LT records'!$F135="Sma","MKT",IF(OR('LT records'!$F135="Val", 'LT records'!$F135="EUR"),"FCY",IF('LT records'!$F135="X-P","PP3",IF('LT records'!$F135="X-m","XAU","???")))))))</f>
        <v>DEP</v>
      </c>
      <c r="H135" s="325" t="n">
        <v>0</v>
      </c>
      <c r="I135" s="340" t="n">
        <v>56.88</v>
      </c>
      <c r="J135" s="325"/>
      <c r="K135" s="340"/>
      <c r="L135" s="341" t="s">
        <v>342</v>
      </c>
      <c r="M135" s="342" t="str">
        <f aca="false">YEAR('LT records'!$B135)&amp;"-"&amp;MONTH('LT records'!$B135)</f>
        <v>2015-2</v>
      </c>
      <c r="N135" s="343" t="n">
        <f aca="false">'LT records'!$H135+'LT records'!$I135</f>
        <v>56.88</v>
      </c>
      <c r="O135" s="335"/>
      <c r="P135" s="335"/>
      <c r="Q135" s="336"/>
      <c r="R135" s="337"/>
      <c r="T135" s="327"/>
    </row>
    <row r="136" customFormat="false" ht="12.8" hidden="false" customHeight="false" outlineLevel="0" collapsed="false">
      <c r="B136" s="270" t="n">
        <v>42062</v>
      </c>
      <c r="C136" s="348" t="n">
        <f aca="false">YEAR('LT records'!$B136)</f>
        <v>2015</v>
      </c>
      <c r="D136" s="346" t="str">
        <f aca="false">'LT records'!$C136&amp;"-"&amp;MONTH('LT records'!$B136)</f>
        <v>2015-2</v>
      </c>
      <c r="E136" s="324" t="s">
        <v>355</v>
      </c>
      <c r="F136" s="324" t="str">
        <f aca="false">LEFT('LT records'!$E136,3)</f>
        <v>MyF</v>
      </c>
      <c r="G136" s="324" t="str">
        <f aca="false">IF(OR('LT records'!$F136="MyF", 'LT records'!$F136="DEP"),"DEP",IF('LT records'!$F136="CSH","CSH",IF('LT records'!$F136="BON","BND",IF('LT records'!$F136="Sma","MKT",IF(OR('LT records'!$F136="Val", 'LT records'!$F136="EUR"),"FCY",IF('LT records'!$F136="X-P","PP3",IF('LT records'!$F136="X-m","XAU","???")))))))</f>
        <v>DEP</v>
      </c>
      <c r="H136" s="325" t="n">
        <f aca="false">1000-8.68</f>
        <v>991.32</v>
      </c>
      <c r="I136" s="340" t="n">
        <v>8.68</v>
      </c>
      <c r="J136" s="325"/>
      <c r="K136" s="340"/>
      <c r="L136" s="341" t="s">
        <v>347</v>
      </c>
      <c r="M136" s="342" t="str">
        <f aca="false">YEAR('LT records'!$B136)&amp;"-"&amp;MONTH('LT records'!$B136)</f>
        <v>2015-2</v>
      </c>
      <c r="N136" s="343" t="n">
        <f aca="false">'LT records'!$H136+'LT records'!$I136</f>
        <v>1000</v>
      </c>
      <c r="O136" s="335"/>
      <c r="P136" s="335"/>
      <c r="Q136" s="336"/>
      <c r="R136" s="337"/>
      <c r="T136" s="327"/>
    </row>
    <row r="137" customFormat="false" ht="12.8" hidden="false" customHeight="false" outlineLevel="0" collapsed="false">
      <c r="B137" s="270" t="n">
        <v>42082</v>
      </c>
      <c r="C137" s="348" t="n">
        <f aca="false">YEAR('LT records'!$B137)</f>
        <v>2015</v>
      </c>
      <c r="D137" s="346" t="str">
        <f aca="false">'LT records'!$C137&amp;"-"&amp;MONTH('LT records'!$B137)</f>
        <v>2015-3</v>
      </c>
      <c r="E137" s="324" t="s">
        <v>340</v>
      </c>
      <c r="F137" s="324" t="str">
        <f aca="false">LEFT('LT records'!$E137,3)</f>
        <v>MyF</v>
      </c>
      <c r="G137" s="324" t="str">
        <f aca="false">IF(OR('LT records'!$F137="MyF", 'LT records'!$F137="DEP"),"DEP",IF('LT records'!$F137="CSH","CSH",IF('LT records'!$F137="BON","BND",IF('LT records'!$F137="Sma","MKT",IF(OR('LT records'!$F137="Val", 'LT records'!$F137="EUR"),"FCY",IF('LT records'!$F137="X-P","PP3",IF('LT records'!$F137="X-m","XAU","???")))))))</f>
        <v>DEP</v>
      </c>
      <c r="H137" s="325" t="n">
        <v>-5.16</v>
      </c>
      <c r="I137" s="340" t="n">
        <f aca="false">6.14-0.98</f>
        <v>5.16</v>
      </c>
      <c r="J137" s="325"/>
      <c r="K137" s="340"/>
      <c r="L137" s="341" t="s">
        <v>347</v>
      </c>
      <c r="M137" s="342" t="str">
        <f aca="false">YEAR('LT records'!$B137)&amp;"-"&amp;MONTH('LT records'!$B137)</f>
        <v>2015-3</v>
      </c>
      <c r="N137" s="343" t="n">
        <f aca="false">'LT records'!$H137+'LT records'!$I137</f>
        <v>0</v>
      </c>
      <c r="O137" s="335"/>
      <c r="P137" s="335"/>
      <c r="Q137" s="336"/>
      <c r="R137" s="337"/>
      <c r="T137" s="327"/>
    </row>
    <row r="138" customFormat="false" ht="12.8" hidden="false" customHeight="false" outlineLevel="0" collapsed="false">
      <c r="B138" s="270" t="n">
        <v>42086</v>
      </c>
      <c r="C138" s="348" t="n">
        <f aca="false">YEAR('LT records'!$B138)</f>
        <v>2015</v>
      </c>
      <c r="D138" s="346" t="str">
        <f aca="false">'LT records'!$C138&amp;"-"&amp;MONTH('LT records'!$B138)</f>
        <v>2015-3</v>
      </c>
      <c r="E138" s="324" t="s">
        <v>360</v>
      </c>
      <c r="F138" s="324" t="str">
        <f aca="false">LEFT('LT records'!$E138,3)</f>
        <v>MyF</v>
      </c>
      <c r="G138" s="324" t="str">
        <f aca="false">IF(OR('LT records'!$F138="MyF", 'LT records'!$F138="DEP"),"DEP",IF('LT records'!$F138="CSH","CSH",IF('LT records'!$F138="BON","BND",IF('LT records'!$F138="Sma","MKT",IF(OR('LT records'!$F138="Val", 'LT records'!$F138="EUR"),"FCY",IF('LT records'!$F138="X-P","PP3",IF('LT records'!$F138="X-m","XAU","???")))))))</f>
        <v>DEP</v>
      </c>
      <c r="H138" s="325" t="n">
        <f aca="false">1000-3.86</f>
        <v>996.14</v>
      </c>
      <c r="I138" s="340" t="n">
        <v>3.86</v>
      </c>
      <c r="J138" s="325"/>
      <c r="K138" s="340"/>
      <c r="L138" s="341" t="s">
        <v>347</v>
      </c>
      <c r="M138" s="342" t="str">
        <f aca="false">YEAR('LT records'!$B138)&amp;"-"&amp;MONTH('LT records'!$B138)</f>
        <v>2015-3</v>
      </c>
      <c r="N138" s="343" t="n">
        <f aca="false">'LT records'!$H138+'LT records'!$I138</f>
        <v>1000</v>
      </c>
      <c r="O138" s="335"/>
      <c r="P138" s="335"/>
      <c r="Q138" s="336"/>
      <c r="R138" s="337"/>
      <c r="T138" s="327"/>
    </row>
    <row r="139" customFormat="false" ht="12.8" hidden="false" customHeight="false" outlineLevel="0" collapsed="false">
      <c r="B139" s="270" t="n">
        <v>42087</v>
      </c>
      <c r="C139" s="348" t="n">
        <f aca="false">YEAR('LT records'!$B139)</f>
        <v>2015</v>
      </c>
      <c r="D139" s="346" t="str">
        <f aca="false">'LT records'!$C139&amp;"-"&amp;MONTH('LT records'!$B139)</f>
        <v>2015-3</v>
      </c>
      <c r="E139" s="324" t="s">
        <v>350</v>
      </c>
      <c r="F139" s="324" t="str">
        <f aca="false">LEFT('LT records'!$E139,3)</f>
        <v>MyF</v>
      </c>
      <c r="G139" s="324" t="str">
        <f aca="false">IF(OR('LT records'!$F139="MyF", 'LT records'!$F139="DEP"),"DEP",IF('LT records'!$F139="CSH","CSH",IF('LT records'!$F139="BON","BND",IF('LT records'!$F139="Sma","MKT",IF(OR('LT records'!$F139="Val", 'LT records'!$F139="EUR"),"FCY",IF('LT records'!$F139="X-P","PP3",IF('LT records'!$F139="X-m","XAU","???")))))))</f>
        <v>DEP</v>
      </c>
      <c r="H139" s="325" t="n">
        <v>0</v>
      </c>
      <c r="I139" s="340" t="n">
        <v>49.71</v>
      </c>
      <c r="J139" s="325"/>
      <c r="K139" s="340"/>
      <c r="L139" s="341" t="s">
        <v>342</v>
      </c>
      <c r="M139" s="342" t="str">
        <f aca="false">YEAR('LT records'!$B139)&amp;"-"&amp;MONTH('LT records'!$B139)</f>
        <v>2015-3</v>
      </c>
      <c r="N139" s="343" t="n">
        <f aca="false">'LT records'!$H139+'LT records'!$I139</f>
        <v>49.71</v>
      </c>
      <c r="O139" s="335"/>
      <c r="P139" s="335"/>
      <c r="Q139" s="336"/>
      <c r="R139" s="337"/>
      <c r="T139" s="327"/>
    </row>
    <row r="140" customFormat="false" ht="12.8" hidden="false" customHeight="false" outlineLevel="0" collapsed="false">
      <c r="B140" s="270" t="n">
        <v>42090</v>
      </c>
      <c r="C140" s="348" t="n">
        <f aca="false">YEAR('LT records'!$B140)</f>
        <v>2015</v>
      </c>
      <c r="D140" s="346" t="str">
        <f aca="false">'LT records'!$C140&amp;"-"&amp;MONTH('LT records'!$B140)</f>
        <v>2015-3</v>
      </c>
      <c r="E140" s="324" t="s">
        <v>355</v>
      </c>
      <c r="F140" s="324" t="str">
        <f aca="false">LEFT('LT records'!$E140,3)</f>
        <v>MyF</v>
      </c>
      <c r="G140" s="324" t="str">
        <f aca="false">IF(OR('LT records'!$F140="MyF", 'LT records'!$F140="DEP"),"DEP",IF('LT records'!$F140="CSH","CSH",IF('LT records'!$F140="BON","BND",IF('LT records'!$F140="Sma","MKT",IF(OR('LT records'!$F140="Val", 'LT records'!$F140="EUR"),"FCY",IF('LT records'!$F140="X-P","PP3",IF('LT records'!$F140="X-m","XAU","???")))))))</f>
        <v>DEP</v>
      </c>
      <c r="H140" s="325" t="n">
        <f aca="false">1000-9.67</f>
        <v>990.33</v>
      </c>
      <c r="I140" s="340" t="n">
        <v>9.67</v>
      </c>
      <c r="J140" s="325"/>
      <c r="K140" s="340"/>
      <c r="L140" s="341" t="s">
        <v>347</v>
      </c>
      <c r="M140" s="342" t="str">
        <f aca="false">YEAR('LT records'!$B140)&amp;"-"&amp;MONTH('LT records'!$B140)</f>
        <v>2015-3</v>
      </c>
      <c r="N140" s="343" t="n">
        <f aca="false">'LT records'!$H140+'LT records'!$I140</f>
        <v>1000</v>
      </c>
      <c r="O140" s="335"/>
      <c r="P140" s="335"/>
      <c r="Q140" s="336"/>
      <c r="R140" s="337"/>
      <c r="T140" s="327"/>
    </row>
    <row r="141" customFormat="false" ht="12.8" hidden="false" customHeight="false" outlineLevel="0" collapsed="false">
      <c r="B141" s="270" t="n">
        <v>42114</v>
      </c>
      <c r="C141" s="348" t="n">
        <f aca="false">YEAR('LT records'!$B141)</f>
        <v>2015</v>
      </c>
      <c r="D141" s="346" t="str">
        <f aca="false">'LT records'!$C141&amp;"-"&amp;MONTH('LT records'!$B141)</f>
        <v>2015-4</v>
      </c>
      <c r="E141" s="324" t="s">
        <v>340</v>
      </c>
      <c r="F141" s="324" t="str">
        <f aca="false">LEFT('LT records'!$E141,3)</f>
        <v>MyF</v>
      </c>
      <c r="G141" s="324" t="str">
        <f aca="false">IF(OR('LT records'!$F141="MyF", 'LT records'!$F141="DEP"),"DEP",IF('LT records'!$F141="CSH","CSH",IF('LT records'!$F141="BON","BND",IF('LT records'!$F141="Sma","MKT",IF(OR('LT records'!$F141="Val", 'LT records'!$F141="EUR"),"FCY",IF('LT records'!$F141="X-P","PP3",IF('LT records'!$F141="X-m","XAU","???")))))))</f>
        <v>DEP</v>
      </c>
      <c r="H141" s="325" t="n">
        <v>-5.89</v>
      </c>
      <c r="I141" s="340" t="n">
        <v>5.89</v>
      </c>
      <c r="J141" s="325"/>
      <c r="K141" s="340"/>
      <c r="L141" s="341" t="s">
        <v>347</v>
      </c>
      <c r="M141" s="342" t="str">
        <f aca="false">YEAR('LT records'!$B141)&amp;"-"&amp;MONTH('LT records'!$B141)</f>
        <v>2015-4</v>
      </c>
      <c r="N141" s="343" t="n">
        <f aca="false">'LT records'!$H141+'LT records'!$I141</f>
        <v>0</v>
      </c>
      <c r="O141" s="335"/>
      <c r="P141" s="335"/>
      <c r="Q141" s="336"/>
      <c r="R141" s="337"/>
      <c r="T141" s="327"/>
    </row>
    <row r="142" customFormat="false" ht="12.8" hidden="false" customHeight="false" outlineLevel="0" collapsed="false">
      <c r="B142" s="270" t="n">
        <v>42117</v>
      </c>
      <c r="C142" s="348" t="n">
        <f aca="false">YEAR('LT records'!$B142)</f>
        <v>2015</v>
      </c>
      <c r="D142" s="346" t="str">
        <f aca="false">'LT records'!$C142&amp;"-"&amp;MONTH('LT records'!$B142)</f>
        <v>2015-4</v>
      </c>
      <c r="E142" s="324" t="s">
        <v>360</v>
      </c>
      <c r="F142" s="324" t="str">
        <f aca="false">LEFT('LT records'!$E142,3)</f>
        <v>MyF</v>
      </c>
      <c r="G142" s="324" t="str">
        <f aca="false">IF(OR('LT records'!$F142="MyF", 'LT records'!$F142="DEP"),"DEP",IF('LT records'!$F142="CSH","CSH",IF('LT records'!$F142="BON","BND",IF('LT records'!$F142="Sma","MKT",IF(OR('LT records'!$F142="Val", 'LT records'!$F142="EUR"),"FCY",IF('LT records'!$F142="X-P","PP3",IF('LT records'!$F142="X-m","XAU","???")))))))</f>
        <v>DEP</v>
      </c>
      <c r="H142" s="325" t="n">
        <v>-5.7</v>
      </c>
      <c r="I142" s="340" t="n">
        <v>5.7</v>
      </c>
      <c r="J142" s="325"/>
      <c r="K142" s="340"/>
      <c r="L142" s="341" t="s">
        <v>347</v>
      </c>
      <c r="M142" s="342" t="str">
        <f aca="false">YEAR('LT records'!$B142)&amp;"-"&amp;MONTH('LT records'!$B142)</f>
        <v>2015-4</v>
      </c>
      <c r="N142" s="343" t="n">
        <f aca="false">'LT records'!$H142+'LT records'!$I142</f>
        <v>0</v>
      </c>
      <c r="O142" s="335"/>
      <c r="P142" s="335"/>
      <c r="Q142" s="336"/>
      <c r="R142" s="337"/>
      <c r="T142" s="327"/>
    </row>
    <row r="143" customFormat="false" ht="12.8" hidden="false" customHeight="false" outlineLevel="0" collapsed="false">
      <c r="B143" s="270" t="n">
        <v>42121</v>
      </c>
      <c r="C143" s="348" t="n">
        <f aca="false">YEAR('LT records'!$B143)</f>
        <v>2015</v>
      </c>
      <c r="D143" s="346" t="str">
        <f aca="false">'LT records'!$C143&amp;"-"&amp;MONTH('LT records'!$B143)</f>
        <v>2015-4</v>
      </c>
      <c r="E143" s="324" t="s">
        <v>355</v>
      </c>
      <c r="F143" s="324" t="str">
        <f aca="false">LEFT('LT records'!$E143,3)</f>
        <v>MyF</v>
      </c>
      <c r="G143" s="324" t="str">
        <f aca="false">IF(OR('LT records'!$F143="MyF", 'LT records'!$F143="DEP"),"DEP",IF('LT records'!$F143="CSH","CSH",IF('LT records'!$F143="BON","BND",IF('LT records'!$F143="Sma","MKT",IF(OR('LT records'!$F143="Val", 'LT records'!$F143="EUR"),"FCY",IF('LT records'!$F143="X-P","PP3",IF('LT records'!$F143="X-m","XAU","???")))))))</f>
        <v>DEP</v>
      </c>
      <c r="H143" s="325" t="n">
        <v>1487.87</v>
      </c>
      <c r="I143" s="340" t="n">
        <v>12.13</v>
      </c>
      <c r="J143" s="325"/>
      <c r="K143" s="340"/>
      <c r="L143" s="341" t="s">
        <v>347</v>
      </c>
      <c r="M143" s="342" t="str">
        <f aca="false">YEAR('LT records'!$B143)&amp;"-"&amp;MONTH('LT records'!$B143)</f>
        <v>2015-4</v>
      </c>
      <c r="N143" s="343" t="n">
        <f aca="false">'LT records'!$H143+'LT records'!$I143</f>
        <v>1500</v>
      </c>
      <c r="O143" s="335"/>
      <c r="P143" s="335"/>
      <c r="Q143" s="336"/>
      <c r="R143" s="337"/>
      <c r="T143" s="327"/>
    </row>
    <row r="144" customFormat="false" ht="12.8" hidden="false" customHeight="false" outlineLevel="0" collapsed="false">
      <c r="B144" s="270" t="n">
        <v>42128</v>
      </c>
      <c r="C144" s="348" t="n">
        <f aca="false">YEAR('LT records'!$B144)</f>
        <v>2015</v>
      </c>
      <c r="D144" s="346" t="str">
        <f aca="false">'LT records'!$C144&amp;"-"&amp;MONTH('LT records'!$B144)</f>
        <v>2015-5</v>
      </c>
      <c r="E144" s="324" t="s">
        <v>360</v>
      </c>
      <c r="F144" s="324" t="str">
        <f aca="false">LEFT('LT records'!$E144,3)</f>
        <v>MyF</v>
      </c>
      <c r="G144" s="324" t="str">
        <f aca="false">IF(OR('LT records'!$F144="MyF", 'LT records'!$F144="DEP"),"DEP",IF('LT records'!$F144="CSH","CSH",IF('LT records'!$F144="BON","BND",IF('LT records'!$F144="Sma","MKT",IF(OR('LT records'!$F144="Val", 'LT records'!$F144="EUR"),"FCY",IF('LT records'!$F144="X-P","PP3",IF('LT records'!$F144="X-m","XAU","???")))))))</f>
        <v>DEP</v>
      </c>
      <c r="H144" s="325" t="n">
        <v>-2000</v>
      </c>
      <c r="I144" s="340"/>
      <c r="J144" s="325"/>
      <c r="K144" s="340"/>
      <c r="L144" s="341" t="s">
        <v>354</v>
      </c>
      <c r="M144" s="342" t="str">
        <f aca="false">YEAR('LT records'!$B144)&amp;"-"&amp;MONTH('LT records'!$B144)</f>
        <v>2015-5</v>
      </c>
      <c r="N144" s="343" t="n">
        <f aca="false">'LT records'!$H144+'LT records'!$I144</f>
        <v>-2000</v>
      </c>
      <c r="O144" s="335"/>
      <c r="P144" s="335"/>
      <c r="Q144" s="336"/>
      <c r="R144" s="337"/>
      <c r="T144" s="327"/>
    </row>
    <row r="145" customFormat="false" ht="12.8" hidden="false" customHeight="false" outlineLevel="0" collapsed="false">
      <c r="B145" s="270" t="n">
        <v>42144</v>
      </c>
      <c r="C145" s="348" t="n">
        <f aca="false">YEAR('LT records'!$B145)</f>
        <v>2015</v>
      </c>
      <c r="D145" s="346" t="str">
        <f aca="false">'LT records'!$C145&amp;"-"&amp;MONTH('LT records'!$B145)</f>
        <v>2015-5</v>
      </c>
      <c r="E145" s="324" t="s">
        <v>344</v>
      </c>
      <c r="F145" s="324" t="str">
        <f aca="false">LEFT('LT records'!$E145,3)</f>
        <v>MyF</v>
      </c>
      <c r="G145" s="324" t="str">
        <f aca="false">IF(OR('LT records'!$F145="MyF", 'LT records'!$F145="DEP"),"DEP",IF('LT records'!$F145="CSH","CSH",IF('LT records'!$F145="BON","BND",IF('LT records'!$F145="Sma","MKT",IF(OR('LT records'!$F145="Val", 'LT records'!$F145="EUR"),"FCY",IF('LT records'!$F145="X-P","PP3",IF('LT records'!$F145="X-m","XAU","???")))))))</f>
        <v>DEP</v>
      </c>
      <c r="H145" s="325" t="n">
        <v>0</v>
      </c>
      <c r="I145" s="340" t="n">
        <v>44.9</v>
      </c>
      <c r="J145" s="325"/>
      <c r="K145" s="340"/>
      <c r="L145" s="341" t="s">
        <v>342</v>
      </c>
      <c r="M145" s="342" t="str">
        <f aca="false">YEAR('LT records'!$B145)&amp;"-"&amp;MONTH('LT records'!$B145)</f>
        <v>2015-5</v>
      </c>
      <c r="N145" s="343" t="n">
        <f aca="false">'LT records'!$H145+'LT records'!$I145</f>
        <v>44.9</v>
      </c>
      <c r="O145" s="335"/>
      <c r="P145" s="335"/>
      <c r="Q145" s="336"/>
      <c r="R145" s="337"/>
      <c r="T145" s="327"/>
    </row>
    <row r="146" customFormat="false" ht="12.8" hidden="false" customHeight="false" outlineLevel="0" collapsed="false">
      <c r="B146" s="270" t="n">
        <v>42144</v>
      </c>
      <c r="C146" s="348" t="n">
        <f aca="false">YEAR('LT records'!$B146)</f>
        <v>2015</v>
      </c>
      <c r="D146" s="346" t="str">
        <f aca="false">'LT records'!$C146&amp;"-"&amp;MONTH('LT records'!$B146)</f>
        <v>2015-5</v>
      </c>
      <c r="E146" s="324" t="s">
        <v>340</v>
      </c>
      <c r="F146" s="324" t="str">
        <f aca="false">LEFT('LT records'!$E146,3)</f>
        <v>MyF</v>
      </c>
      <c r="G146" s="324" t="str">
        <f aca="false">IF(OR('LT records'!$F146="MyF", 'LT records'!$F146="DEP"),"DEP",IF('LT records'!$F146="CSH","CSH",IF('LT records'!$F146="BON","BND",IF('LT records'!$F146="Sma","MKT",IF(OR('LT records'!$F146="Val", 'LT records'!$F146="EUR"),"FCY",IF('LT records'!$F146="X-P","PP3",IF('LT records'!$F146="X-m","XAU","???")))))))</f>
        <v>DEP</v>
      </c>
      <c r="H146" s="325" t="n">
        <v>-5.11</v>
      </c>
      <c r="I146" s="340" t="n">
        <v>5.11</v>
      </c>
      <c r="J146" s="325"/>
      <c r="K146" s="340"/>
      <c r="L146" s="341" t="s">
        <v>347</v>
      </c>
      <c r="M146" s="342" t="str">
        <f aca="false">YEAR('LT records'!$B146)&amp;"-"&amp;MONTH('LT records'!$B146)</f>
        <v>2015-5</v>
      </c>
      <c r="N146" s="343" t="n">
        <f aca="false">'LT records'!$H146+'LT records'!$I146</f>
        <v>0</v>
      </c>
      <c r="O146" s="335"/>
      <c r="P146" s="335"/>
      <c r="Q146" s="336"/>
      <c r="R146" s="337"/>
      <c r="T146" s="327"/>
    </row>
    <row r="147" customFormat="false" ht="12.8" hidden="false" customHeight="false" outlineLevel="0" collapsed="false">
      <c r="B147" s="270" t="n">
        <v>42151</v>
      </c>
      <c r="C147" s="348" t="n">
        <f aca="false">YEAR('LT records'!$B147)</f>
        <v>2015</v>
      </c>
      <c r="D147" s="346" t="str">
        <f aca="false">'LT records'!$C147&amp;"-"&amp;MONTH('LT records'!$B147)</f>
        <v>2015-5</v>
      </c>
      <c r="E147" s="324" t="s">
        <v>337</v>
      </c>
      <c r="F147" s="324" t="str">
        <f aca="false">LEFT('LT records'!$E147,3)</f>
        <v>MyF</v>
      </c>
      <c r="G147" s="324" t="str">
        <f aca="false">IF(OR('LT records'!$F147="MyF", 'LT records'!$F147="DEP"),"DEP",IF('LT records'!$F147="CSH","CSH",IF('LT records'!$F147="BON","BND",IF('LT records'!$F147="Sma","MKT",IF(OR('LT records'!$F147="Val", 'LT records'!$F147="EUR"),"FCY",IF('LT records'!$F147="X-P","PP3",IF('LT records'!$F147="X-m","XAU","???")))))))</f>
        <v>DEP</v>
      </c>
      <c r="H147" s="325" t="n">
        <v>0</v>
      </c>
      <c r="I147" s="340" t="n">
        <f aca="false">53.45-8.55</f>
        <v>44.9</v>
      </c>
      <c r="J147" s="325"/>
      <c r="K147" s="340"/>
      <c r="L147" s="341" t="s">
        <v>342</v>
      </c>
      <c r="M147" s="342" t="str">
        <f aca="false">YEAR('LT records'!$B147)&amp;"-"&amp;MONTH('LT records'!$B147)</f>
        <v>2015-5</v>
      </c>
      <c r="N147" s="343" t="n">
        <f aca="false">'LT records'!$H147+'LT records'!$I147</f>
        <v>44.9</v>
      </c>
      <c r="O147" s="335"/>
      <c r="P147" s="335"/>
      <c r="Q147" s="336"/>
      <c r="R147" s="337"/>
      <c r="T147" s="327"/>
    </row>
    <row r="148" customFormat="false" ht="12.8" hidden="false" customHeight="false" outlineLevel="0" collapsed="false">
      <c r="B148" s="270" t="n">
        <v>42159</v>
      </c>
      <c r="C148" s="348" t="n">
        <f aca="false">YEAR('LT records'!$B148)</f>
        <v>2015</v>
      </c>
      <c r="D148" s="346" t="str">
        <f aca="false">'LT records'!$C148&amp;"-"&amp;MONTH('LT records'!$B148)</f>
        <v>2015-6</v>
      </c>
      <c r="E148" s="324" t="s">
        <v>360</v>
      </c>
      <c r="F148" s="324" t="str">
        <f aca="false">LEFT('LT records'!$E148,3)</f>
        <v>MyF</v>
      </c>
      <c r="G148" s="324" t="str">
        <f aca="false">IF(OR('LT records'!$F148="MyF", 'LT records'!$F148="DEP"),"DEP",IF('LT records'!$F148="CSH","CSH",IF('LT records'!$F148="BON","BND",IF('LT records'!$F148="Sma","MKT",IF(OR('LT records'!$F148="Val", 'LT records'!$F148="EUR"),"FCY",IF('LT records'!$F148="X-P","PP3",IF('LT records'!$F148="X-m","XAU","???")))))))</f>
        <v>DEP</v>
      </c>
      <c r="H148" s="325" t="n">
        <v>997.36</v>
      </c>
      <c r="I148" s="340" t="n">
        <v>2.64</v>
      </c>
      <c r="J148" s="325"/>
      <c r="K148" s="340"/>
      <c r="L148" s="341" t="s">
        <v>347</v>
      </c>
      <c r="M148" s="342" t="str">
        <f aca="false">YEAR('LT records'!$B148)&amp;"-"&amp;MONTH('LT records'!$B148)</f>
        <v>2015-6</v>
      </c>
      <c r="N148" s="343" t="n">
        <f aca="false">'LT records'!$H148+'LT records'!$I148</f>
        <v>1000</v>
      </c>
      <c r="O148" s="335"/>
      <c r="P148" s="335"/>
      <c r="Q148" s="336"/>
      <c r="R148" s="337"/>
      <c r="T148" s="327"/>
    </row>
    <row r="149" customFormat="false" ht="12.8" hidden="false" customHeight="false" outlineLevel="0" collapsed="false">
      <c r="B149" s="270" t="n">
        <v>42177</v>
      </c>
      <c r="C149" s="348" t="n">
        <f aca="false">YEAR('LT records'!$B149)</f>
        <v>2015</v>
      </c>
      <c r="D149" s="346" t="str">
        <f aca="false">'LT records'!$C149&amp;"-"&amp;MONTH('LT records'!$B149)</f>
        <v>2015-6</v>
      </c>
      <c r="E149" s="324" t="s">
        <v>340</v>
      </c>
      <c r="F149" s="324" t="str">
        <f aca="false">LEFT('LT records'!$E149,3)</f>
        <v>MyF</v>
      </c>
      <c r="G149" s="324" t="str">
        <f aca="false">IF(OR('LT records'!$F149="MyF", 'LT records'!$F149="DEP"),"DEP",IF('LT records'!$F149="CSH","CSH",IF('LT records'!$F149="BON","BND",IF('LT records'!$F149="Sma","MKT",IF(OR('LT records'!$F149="Val", 'LT records'!$F149="EUR"),"FCY",IF('LT records'!$F149="X-P","PP3",IF('LT records'!$F149="X-m","XAU","???")))))))</f>
        <v>DEP</v>
      </c>
      <c r="H149" s="325" t="n">
        <v>-5.62</v>
      </c>
      <c r="I149" s="340" t="n">
        <v>5.62</v>
      </c>
      <c r="J149" s="325"/>
      <c r="K149" s="340"/>
      <c r="L149" s="341" t="s">
        <v>342</v>
      </c>
      <c r="M149" s="342" t="str">
        <f aca="false">YEAR('LT records'!$B149)&amp;"-"&amp;MONTH('LT records'!$B149)</f>
        <v>2015-6</v>
      </c>
      <c r="N149" s="343" t="n">
        <f aca="false">'LT records'!$H149+'LT records'!$I149</f>
        <v>0</v>
      </c>
      <c r="O149" s="335"/>
      <c r="P149" s="335"/>
      <c r="Q149" s="336"/>
      <c r="R149" s="337"/>
      <c r="T149" s="327"/>
    </row>
    <row r="150" customFormat="false" ht="12.8" hidden="false" customHeight="false" outlineLevel="0" collapsed="false">
      <c r="B150" s="270" t="n">
        <v>42179</v>
      </c>
      <c r="C150" s="348" t="n">
        <f aca="false">YEAR('LT records'!$B150)</f>
        <v>2015</v>
      </c>
      <c r="D150" s="346" t="str">
        <f aca="false">'LT records'!$C150&amp;"-"&amp;MONTH('LT records'!$B150)</f>
        <v>2015-6</v>
      </c>
      <c r="E150" s="324" t="s">
        <v>350</v>
      </c>
      <c r="F150" s="324" t="str">
        <f aca="false">LEFT('LT records'!$E150,3)</f>
        <v>MyF</v>
      </c>
      <c r="G150" s="324" t="str">
        <f aca="false">IF(OR('LT records'!$F150="MyF", 'LT records'!$F150="DEP"),"DEP",IF('LT records'!$F150="CSH","CSH",IF('LT records'!$F150="BON","BND",IF('LT records'!$F150="Sma","MKT",IF(OR('LT records'!$F150="Val", 'LT records'!$F150="EUR"),"FCY",IF('LT records'!$F150="X-P","PP3",IF('LT records'!$F150="X-m","XAU","???")))))))</f>
        <v>DEP</v>
      </c>
      <c r="H150" s="325" t="n">
        <v>0</v>
      </c>
      <c r="I150" s="340" t="n">
        <f aca="false">54.46-8.71</f>
        <v>45.75</v>
      </c>
      <c r="J150" s="325"/>
      <c r="K150" s="340"/>
      <c r="L150" s="341" t="s">
        <v>342</v>
      </c>
      <c r="M150" s="342" t="str">
        <f aca="false">YEAR('LT records'!$B150)&amp;"-"&amp;MONTH('LT records'!$B150)</f>
        <v>2015-6</v>
      </c>
      <c r="N150" s="343" t="n">
        <f aca="false">'LT records'!$H150+'LT records'!$I150</f>
        <v>45.75</v>
      </c>
      <c r="O150" s="335"/>
      <c r="P150" s="335"/>
      <c r="Q150" s="336"/>
      <c r="R150" s="337"/>
      <c r="T150" s="327"/>
    </row>
    <row r="151" customFormat="false" ht="12.8" hidden="false" customHeight="false" outlineLevel="0" collapsed="false">
      <c r="B151" s="270" t="n">
        <v>42191</v>
      </c>
      <c r="C151" s="348" t="n">
        <f aca="false">YEAR('LT records'!$B151)</f>
        <v>2015</v>
      </c>
      <c r="D151" s="346" t="str">
        <f aca="false">'LT records'!$C151&amp;"-"&amp;MONTH('LT records'!$B151)</f>
        <v>2015-7</v>
      </c>
      <c r="E151" s="324" t="s">
        <v>360</v>
      </c>
      <c r="F151" s="324" t="str">
        <f aca="false">LEFT('LT records'!$E151,3)</f>
        <v>MyF</v>
      </c>
      <c r="G151" s="324" t="str">
        <f aca="false">IF(OR('LT records'!$F151="MyF", 'LT records'!$F151="DEP"),"DEP",IF('LT records'!$F151="CSH","CSH",IF('LT records'!$F151="BON","BND",IF('LT records'!$F151="Sma","MKT",IF(OR('LT records'!$F151="Val", 'LT records'!$F151="EUR"),"FCY",IF('LT records'!$F151="X-P","PP3",IF('LT records'!$F151="X-m","XAU","???")))))))</f>
        <v>DEP</v>
      </c>
      <c r="H151" s="325" t="n">
        <v>496.14</v>
      </c>
      <c r="I151" s="340" t="n">
        <v>3.86</v>
      </c>
      <c r="J151" s="325"/>
      <c r="K151" s="340"/>
      <c r="L151" s="341" t="s">
        <v>347</v>
      </c>
      <c r="M151" s="342" t="str">
        <f aca="false">YEAR('LT records'!$B151)&amp;"-"&amp;MONTH('LT records'!$B151)</f>
        <v>2015-7</v>
      </c>
      <c r="N151" s="343" t="n">
        <f aca="false">'LT records'!$H151+'LT records'!$I151</f>
        <v>500</v>
      </c>
      <c r="O151" s="335"/>
      <c r="P151" s="335"/>
      <c r="Q151" s="336"/>
      <c r="R151" s="337"/>
      <c r="T151" s="327"/>
    </row>
    <row r="152" customFormat="false" ht="12.8" hidden="false" customHeight="false" outlineLevel="0" collapsed="false">
      <c r="B152" s="270" t="n">
        <v>42207</v>
      </c>
      <c r="C152" s="348" t="n">
        <f aca="false">YEAR('LT records'!$B152)</f>
        <v>2015</v>
      </c>
      <c r="D152" s="346" t="str">
        <f aca="false">'LT records'!$C152&amp;"-"&amp;MONTH('LT records'!$B152)</f>
        <v>2015-7</v>
      </c>
      <c r="E152" s="324" t="s">
        <v>340</v>
      </c>
      <c r="F152" s="324" t="str">
        <f aca="false">LEFT('LT records'!$E152,3)</f>
        <v>MyF</v>
      </c>
      <c r="G152" s="324" t="str">
        <f aca="false">IF(OR('LT records'!$F152="MyF", 'LT records'!$F152="DEP"),"DEP",IF('LT records'!$F152="CSH","CSH",IF('LT records'!$F152="BON","BND",IF('LT records'!$F152="Sma","MKT",IF(OR('LT records'!$F152="Val", 'LT records'!$F152="EUR"),"FCY",IF('LT records'!$F152="X-P","PP3",IF('LT records'!$F152="X-m","XAU","???")))))))</f>
        <v>DEP</v>
      </c>
      <c r="H152" s="325" t="n">
        <v>-4.83</v>
      </c>
      <c r="I152" s="340" t="n">
        <v>4.83</v>
      </c>
      <c r="J152" s="325"/>
      <c r="K152" s="340"/>
      <c r="L152" s="341" t="s">
        <v>347</v>
      </c>
      <c r="M152" s="342" t="str">
        <f aca="false">YEAR('LT records'!$B152)&amp;"-"&amp;MONTH('LT records'!$B152)</f>
        <v>2015-7</v>
      </c>
      <c r="N152" s="343" t="n">
        <f aca="false">'LT records'!$H152+'LT records'!$I152</f>
        <v>0</v>
      </c>
      <c r="O152" s="335"/>
      <c r="P152" s="335"/>
      <c r="Q152" s="336"/>
      <c r="R152" s="337"/>
      <c r="T152" s="327"/>
    </row>
    <row r="153" customFormat="false" ht="12.8" hidden="false" customHeight="false" outlineLevel="0" collapsed="false">
      <c r="B153" s="270" t="n">
        <v>42212</v>
      </c>
      <c r="C153" s="348" t="n">
        <f aca="false">YEAR('LT records'!$B153)</f>
        <v>2015</v>
      </c>
      <c r="D153" s="346" t="str">
        <f aca="false">'LT records'!$C153&amp;"-"&amp;MONTH('LT records'!$B153)</f>
        <v>2015-7</v>
      </c>
      <c r="E153" s="324" t="s">
        <v>355</v>
      </c>
      <c r="F153" s="324" t="str">
        <f aca="false">LEFT('LT records'!$E153,3)</f>
        <v>MyF</v>
      </c>
      <c r="G153" s="324" t="str">
        <f aca="false">IF(OR('LT records'!$F153="MyF", 'LT records'!$F153="DEP"),"DEP",IF('LT records'!$F153="CSH","CSH",IF('LT records'!$F153="BON","BND",IF('LT records'!$F153="Sma","MKT",IF(OR('LT records'!$F153="Val", 'LT records'!$F153="EUR"),"FCY",IF('LT records'!$F153="X-P","PP3",IF('LT records'!$F153="X-m","XAU","???")))))))</f>
        <v>DEP</v>
      </c>
      <c r="H153" s="325" t="n">
        <v>0</v>
      </c>
      <c r="I153" s="340" t="n">
        <v>41.88</v>
      </c>
      <c r="J153" s="325"/>
      <c r="K153" s="340"/>
      <c r="L153" s="341" t="s">
        <v>342</v>
      </c>
      <c r="M153" s="342" t="str">
        <f aca="false">YEAR('LT records'!$B153)&amp;"-"&amp;MONTH('LT records'!$B153)</f>
        <v>2015-7</v>
      </c>
      <c r="N153" s="343" t="n">
        <f aca="false">'LT records'!$H153+'LT records'!$I153</f>
        <v>41.88</v>
      </c>
      <c r="O153" s="335"/>
      <c r="P153" s="335"/>
      <c r="Q153" s="336"/>
      <c r="R153" s="337"/>
      <c r="T153" s="327"/>
    </row>
    <row r="154" customFormat="false" ht="12.8" hidden="false" customHeight="false" outlineLevel="0" collapsed="false">
      <c r="B154" s="270" t="n">
        <v>42222</v>
      </c>
      <c r="C154" s="348" t="n">
        <f aca="false">YEAR('LT records'!$B154)</f>
        <v>2015</v>
      </c>
      <c r="D154" s="346" t="str">
        <f aca="false">'LT records'!$C154&amp;"-"&amp;MONTH('LT records'!$B154)</f>
        <v>2015-8</v>
      </c>
      <c r="E154" s="324" t="s">
        <v>360</v>
      </c>
      <c r="F154" s="324" t="str">
        <f aca="false">LEFT('LT records'!$E154,3)</f>
        <v>MyF</v>
      </c>
      <c r="G154" s="324" t="str">
        <f aca="false">IF(OR('LT records'!$F154="MyF", 'LT records'!$F154="DEP"),"DEP",IF('LT records'!$F154="CSH","CSH",IF('LT records'!$F154="BON","BND",IF('LT records'!$F154="Sma","MKT",IF(OR('LT records'!$F154="Val", 'LT records'!$F154="EUR"),"FCY",IF('LT records'!$F154="X-P","PP3",IF('LT records'!$F154="X-m","XAU","???")))))))</f>
        <v>DEP</v>
      </c>
      <c r="H154" s="325" t="n">
        <v>-504.37</v>
      </c>
      <c r="I154" s="340" t="n">
        <v>4.37</v>
      </c>
      <c r="J154" s="325"/>
      <c r="K154" s="340"/>
      <c r="L154" s="341" t="s">
        <v>354</v>
      </c>
      <c r="M154" s="342" t="str">
        <f aca="false">YEAR('LT records'!$B154)&amp;"-"&amp;MONTH('LT records'!$B154)</f>
        <v>2015-8</v>
      </c>
      <c r="N154" s="343" t="n">
        <f aca="false">'LT records'!$H154+'LT records'!$I154</f>
        <v>-500</v>
      </c>
      <c r="O154" s="335"/>
      <c r="P154" s="335"/>
      <c r="Q154" s="336"/>
      <c r="R154" s="337"/>
      <c r="T154" s="327"/>
    </row>
    <row r="155" customFormat="false" ht="12.8" hidden="false" customHeight="false" outlineLevel="0" collapsed="false">
      <c r="B155" s="270" t="n">
        <v>42228</v>
      </c>
      <c r="C155" s="348" t="n">
        <f aca="false">YEAR('LT records'!$B155)</f>
        <v>2015</v>
      </c>
      <c r="D155" s="346" t="str">
        <f aca="false">'LT records'!$C155&amp;"-"&amp;MONTH('LT records'!$B155)</f>
        <v>2015-8</v>
      </c>
      <c r="E155" s="324" t="s">
        <v>360</v>
      </c>
      <c r="F155" s="324" t="str">
        <f aca="false">LEFT('LT records'!$E155,3)</f>
        <v>MyF</v>
      </c>
      <c r="G155" s="324" t="str">
        <f aca="false">IF(OR('LT records'!$F155="MyF", 'LT records'!$F155="DEP"),"DEP",IF('LT records'!$F155="CSH","CSH",IF('LT records'!$F155="BON","BND",IF('LT records'!$F155="Sma","MKT",IF(OR('LT records'!$F155="Val", 'LT records'!$F155="EUR"),"FCY",IF('LT records'!$F155="X-P","PP3",IF('LT records'!$F155="X-m","XAU","???")))))))</f>
        <v>DEP</v>
      </c>
      <c r="H155" s="325" t="n">
        <v>-1000</v>
      </c>
      <c r="I155" s="340"/>
      <c r="J155" s="325"/>
      <c r="K155" s="340"/>
      <c r="L155" s="341" t="s">
        <v>354</v>
      </c>
      <c r="M155" s="342" t="str">
        <f aca="false">YEAR('LT records'!$B155)&amp;"-"&amp;MONTH('LT records'!$B155)</f>
        <v>2015-8</v>
      </c>
      <c r="N155" s="343" t="n">
        <f aca="false">'LT records'!$H155+'LT records'!$I155</f>
        <v>-1000</v>
      </c>
      <c r="O155" s="335"/>
      <c r="P155" s="335"/>
      <c r="Q155" s="336"/>
      <c r="R155" s="337"/>
      <c r="T155" s="327"/>
    </row>
    <row r="156" customFormat="false" ht="12.8" hidden="false" customHeight="false" outlineLevel="0" collapsed="false">
      <c r="B156" s="270" t="n">
        <v>42236</v>
      </c>
      <c r="C156" s="348" t="n">
        <f aca="false">YEAR('LT records'!$B156)</f>
        <v>2015</v>
      </c>
      <c r="D156" s="346" t="str">
        <f aca="false">'LT records'!$C156&amp;"-"&amp;MONTH('LT records'!$B156)</f>
        <v>2015-8</v>
      </c>
      <c r="E156" s="324" t="s">
        <v>344</v>
      </c>
      <c r="F156" s="324" t="str">
        <f aca="false">LEFT('LT records'!$E156,3)</f>
        <v>MyF</v>
      </c>
      <c r="G156" s="324" t="str">
        <f aca="false">IF(OR('LT records'!$F156="MyF", 'LT records'!$F156="DEP"),"DEP",IF('LT records'!$F156="CSH","CSH",IF('LT records'!$F156="BON","BND",IF('LT records'!$F156="Sma","MKT",IF(OR('LT records'!$F156="Val", 'LT records'!$F156="EUR"),"FCY",IF('LT records'!$F156="X-P","PP3",IF('LT records'!$F156="X-m","XAU","???")))))))</f>
        <v>DEP</v>
      </c>
      <c r="H156" s="325" t="n">
        <v>0</v>
      </c>
      <c r="I156" s="340" t="n">
        <v>43.37</v>
      </c>
      <c r="J156" s="325"/>
      <c r="K156" s="340"/>
      <c r="L156" s="341" t="s">
        <v>342</v>
      </c>
      <c r="M156" s="342" t="str">
        <f aca="false">YEAR('LT records'!$B156)&amp;"-"&amp;MONTH('LT records'!$B156)</f>
        <v>2015-8</v>
      </c>
      <c r="N156" s="343" t="n">
        <f aca="false">'LT records'!$H156+'LT records'!$I156</f>
        <v>43.37</v>
      </c>
      <c r="O156" s="335"/>
      <c r="P156" s="335"/>
      <c r="Q156" s="336"/>
      <c r="R156" s="337"/>
      <c r="T156" s="327"/>
    </row>
    <row r="157" customFormat="false" ht="12.8" hidden="false" customHeight="false" outlineLevel="0" collapsed="false">
      <c r="B157" s="270" t="n">
        <v>42240</v>
      </c>
      <c r="C157" s="348" t="n">
        <f aca="false">YEAR('LT records'!$B157)</f>
        <v>2015</v>
      </c>
      <c r="D157" s="346" t="str">
        <f aca="false">'LT records'!$C157&amp;"-"&amp;MONTH('LT records'!$B157)</f>
        <v>2015-8</v>
      </c>
      <c r="E157" s="324" t="s">
        <v>340</v>
      </c>
      <c r="F157" s="324" t="str">
        <f aca="false">LEFT('LT records'!$E157,3)</f>
        <v>MyF</v>
      </c>
      <c r="G157" s="324" t="str">
        <f aca="false">IF(OR('LT records'!$F157="MyF", 'LT records'!$F157="DEP"),"DEP",IF('LT records'!$F157="CSH","CSH",IF('LT records'!$F157="BON","BND",IF('LT records'!$F157="Sma","MKT",IF(OR('LT records'!$F157="Val", 'LT records'!$F157="EUR"),"FCY",IF('LT records'!$F157="X-P","PP3",IF('LT records'!$F157="X-m","XAU","???")))))))</f>
        <v>DEP</v>
      </c>
      <c r="H157" s="325" t="n">
        <v>-5.32</v>
      </c>
      <c r="I157" s="340" t="n">
        <v>5.32</v>
      </c>
      <c r="J157" s="325"/>
      <c r="K157" s="340"/>
      <c r="L157" s="341" t="s">
        <v>342</v>
      </c>
      <c r="M157" s="342" t="str">
        <f aca="false">YEAR('LT records'!$B157)&amp;"-"&amp;MONTH('LT records'!$B157)</f>
        <v>2015-8</v>
      </c>
      <c r="N157" s="343" t="n">
        <f aca="false">'LT records'!$H157+'LT records'!$I157</f>
        <v>0</v>
      </c>
      <c r="O157" s="335"/>
      <c r="P157" s="335"/>
      <c r="Q157" s="336"/>
      <c r="R157" s="337"/>
      <c r="T157" s="327"/>
    </row>
    <row r="158" customFormat="false" ht="12.8" hidden="false" customHeight="false" outlineLevel="0" collapsed="false">
      <c r="B158" s="270" t="n">
        <v>42243</v>
      </c>
      <c r="C158" s="348" t="n">
        <f aca="false">YEAR('LT records'!$B158)</f>
        <v>2015</v>
      </c>
      <c r="D158" s="346" t="str">
        <f aca="false">'LT records'!$C158&amp;"-"&amp;MONTH('LT records'!$B158)</f>
        <v>2015-8</v>
      </c>
      <c r="E158" s="324" t="s">
        <v>337</v>
      </c>
      <c r="F158" s="324" t="str">
        <f aca="false">LEFT('LT records'!$E158,3)</f>
        <v>MyF</v>
      </c>
      <c r="G158" s="324" t="str">
        <f aca="false">IF(OR('LT records'!$F158="MyF", 'LT records'!$F158="DEP"),"DEP",IF('LT records'!$F158="CSH","CSH",IF('LT records'!$F158="BON","BND",IF('LT records'!$F158="Sma","MKT",IF(OR('LT records'!$F158="Val", 'LT records'!$F158="EUR"),"FCY",IF('LT records'!$F158="X-P","PP3",IF('LT records'!$F158="X-m","XAU","???")))))))</f>
        <v>DEP</v>
      </c>
      <c r="H158" s="325" t="n">
        <v>0</v>
      </c>
      <c r="I158" s="340" t="n">
        <v>41.19</v>
      </c>
      <c r="J158" s="325"/>
      <c r="K158" s="340"/>
      <c r="L158" s="341" t="s">
        <v>342</v>
      </c>
      <c r="M158" s="342" t="str">
        <f aca="false">YEAR('LT records'!$B158)&amp;"-"&amp;MONTH('LT records'!$B158)</f>
        <v>2015-8</v>
      </c>
      <c r="N158" s="343" t="n">
        <f aca="false">'LT records'!$H158+'LT records'!$I158</f>
        <v>41.19</v>
      </c>
      <c r="O158" s="335"/>
      <c r="P158" s="335"/>
      <c r="Q158" s="336"/>
      <c r="R158" s="337"/>
      <c r="T158" s="327"/>
    </row>
    <row r="159" customFormat="false" ht="12.8" hidden="false" customHeight="false" outlineLevel="0" collapsed="false">
      <c r="B159" s="270" t="n">
        <v>42261</v>
      </c>
      <c r="C159" s="348" t="n">
        <f aca="false">YEAR('LT records'!$B159)</f>
        <v>2015</v>
      </c>
      <c r="D159" s="346" t="str">
        <f aca="false">'LT records'!$C159&amp;"-"&amp;MONTH('LT records'!$B159)</f>
        <v>2015-9</v>
      </c>
      <c r="E159" s="324" t="s">
        <v>360</v>
      </c>
      <c r="F159" s="324" t="str">
        <f aca="false">LEFT('LT records'!$E159,3)</f>
        <v>MyF</v>
      </c>
      <c r="G159" s="324" t="str">
        <f aca="false">IF(OR('LT records'!$F159="MyF", 'LT records'!$F159="DEP"),"DEP",IF('LT records'!$F159="CSH","CSH",IF('LT records'!$F159="BON","BND",IF('LT records'!$F159="Sma","MKT",IF(OR('LT records'!$F159="Val", 'LT records'!$F159="EUR"),"FCY",IF('LT records'!$F159="X-P","PP3",IF('LT records'!$F159="X-m","XAU","???")))))))</f>
        <v>DEP</v>
      </c>
      <c r="H159" s="325" t="n">
        <v>-2.43</v>
      </c>
      <c r="I159" s="340" t="n">
        <v>2.43</v>
      </c>
      <c r="J159" s="325"/>
      <c r="K159" s="340"/>
      <c r="L159" s="341" t="s">
        <v>342</v>
      </c>
      <c r="M159" s="342" t="str">
        <f aca="false">YEAR('LT records'!$B159)&amp;"-"&amp;MONTH('LT records'!$B159)</f>
        <v>2015-9</v>
      </c>
      <c r="N159" s="343" t="n">
        <f aca="false">'LT records'!$H159+'LT records'!$I159</f>
        <v>0</v>
      </c>
      <c r="O159" s="335"/>
      <c r="P159" s="335"/>
      <c r="Q159" s="336"/>
      <c r="R159" s="337"/>
      <c r="T159" s="327"/>
    </row>
    <row r="160" customFormat="false" ht="12.8" hidden="false" customHeight="false" outlineLevel="0" collapsed="false">
      <c r="B160" s="270" t="n">
        <v>42271</v>
      </c>
      <c r="C160" s="348" t="n">
        <f aca="false">YEAR('LT records'!$B160)</f>
        <v>2015</v>
      </c>
      <c r="D160" s="346" t="str">
        <f aca="false">'LT records'!$C160&amp;"-"&amp;MONTH('LT records'!$B160)</f>
        <v>2015-9</v>
      </c>
      <c r="E160" s="324" t="s">
        <v>350</v>
      </c>
      <c r="F160" s="324" t="str">
        <f aca="false">LEFT('LT records'!$E160,3)</f>
        <v>MyF</v>
      </c>
      <c r="G160" s="324" t="str">
        <f aca="false">IF(OR('LT records'!$F160="MyF", 'LT records'!$F160="DEP"),"DEP",IF('LT records'!$F160="CSH","CSH",IF('LT records'!$F160="BON","BND",IF('LT records'!$F160="Sma","MKT",IF(OR('LT records'!$F160="Val", 'LT records'!$F160="EUR"),"FCY",IF('LT records'!$F160="X-P","PP3",IF('LT records'!$F160="X-m","XAU","???")))))))</f>
        <v>DEP</v>
      </c>
      <c r="H160" s="325" t="n">
        <v>0</v>
      </c>
      <c r="I160" s="340" t="n">
        <f aca="false">48.35-7.74</f>
        <v>40.61</v>
      </c>
      <c r="J160" s="325"/>
      <c r="K160" s="340"/>
      <c r="L160" s="341" t="s">
        <v>342</v>
      </c>
      <c r="M160" s="342" t="str">
        <f aca="false">YEAR('LT records'!$B160)&amp;"-"&amp;MONTH('LT records'!$B160)</f>
        <v>2015-9</v>
      </c>
      <c r="N160" s="343" t="n">
        <f aca="false">'LT records'!$H160+'LT records'!$I160</f>
        <v>40.61</v>
      </c>
      <c r="O160" s="335"/>
      <c r="P160" s="335"/>
      <c r="Q160" s="336"/>
      <c r="R160" s="337"/>
      <c r="T160" s="327"/>
    </row>
    <row r="161" customFormat="false" ht="12.8" hidden="false" customHeight="false" outlineLevel="0" collapsed="false">
      <c r="B161" s="270" t="n">
        <v>42271</v>
      </c>
      <c r="C161" s="348" t="n">
        <f aca="false">YEAR('LT records'!$B161)</f>
        <v>2015</v>
      </c>
      <c r="D161" s="346" t="str">
        <f aca="false">'LT records'!$C161&amp;"-"&amp;MONTH('LT records'!$B161)</f>
        <v>2015-9</v>
      </c>
      <c r="E161" s="324" t="s">
        <v>340</v>
      </c>
      <c r="F161" s="324" t="str">
        <f aca="false">LEFT('LT records'!$E161,3)</f>
        <v>MyF</v>
      </c>
      <c r="G161" s="324" t="str">
        <f aca="false">IF(OR('LT records'!$F161="MyF", 'LT records'!$F161="DEP"),"DEP",IF('LT records'!$F161="CSH","CSH",IF('LT records'!$F161="BON","BND",IF('LT records'!$F161="Sma","MKT",IF(OR('LT records'!$F161="Val", 'LT records'!$F161="EUR"),"FCY",IF('LT records'!$F161="X-P","PP3",IF('LT records'!$F161="X-m","XAU","???")))))))</f>
        <v>DEP</v>
      </c>
      <c r="H161" s="325" t="n">
        <f aca="false">-4.57</f>
        <v>-4.57</v>
      </c>
      <c r="I161" s="340" t="n">
        <v>4.57</v>
      </c>
      <c r="J161" s="325"/>
      <c r="K161" s="340"/>
      <c r="L161" s="341" t="s">
        <v>354</v>
      </c>
      <c r="M161" s="342" t="str">
        <f aca="false">YEAR('LT records'!$B161)&amp;"-"&amp;MONTH('LT records'!$B161)</f>
        <v>2015-9</v>
      </c>
      <c r="N161" s="343" t="n">
        <f aca="false">'LT records'!$H161+'LT records'!$I161</f>
        <v>0</v>
      </c>
      <c r="O161" s="335"/>
      <c r="P161" s="335"/>
      <c r="Q161" s="336"/>
      <c r="R161" s="337"/>
      <c r="T161" s="327"/>
    </row>
    <row r="162" customFormat="false" ht="12.8" hidden="false" customHeight="false" outlineLevel="0" collapsed="false">
      <c r="B162" s="270" t="n">
        <v>42291</v>
      </c>
      <c r="C162" s="348" t="n">
        <f aca="false">YEAR('LT records'!$B162)</f>
        <v>2015</v>
      </c>
      <c r="D162" s="346" t="str">
        <f aca="false">'LT records'!$C162&amp;"-"&amp;MONTH('LT records'!$B162)</f>
        <v>2015-10</v>
      </c>
      <c r="E162" s="324" t="s">
        <v>360</v>
      </c>
      <c r="F162" s="324" t="str">
        <f aca="false">LEFT('LT records'!$E162,3)</f>
        <v>MyF</v>
      </c>
      <c r="G162" s="324" t="str">
        <f aca="false">IF(OR('LT records'!$F162="MyF", 'LT records'!$F162="DEP"),"DEP",IF('LT records'!$F162="CSH","CSH",IF('LT records'!$F162="BON","BND",IF('LT records'!$F162="Sma","MKT",IF(OR('LT records'!$F162="Val", 'LT records'!$F162="EUR"),"FCY",IF('LT records'!$F162="X-P","PP3",IF('LT records'!$F162="X-m","XAU","???")))))))</f>
        <v>DEP</v>
      </c>
      <c r="H162" s="325" t="n">
        <f aca="false">500-1.93</f>
        <v>498.07</v>
      </c>
      <c r="I162" s="340" t="n">
        <v>1.93</v>
      </c>
      <c r="J162" s="325"/>
      <c r="K162" s="340"/>
      <c r="L162" s="341" t="s">
        <v>347</v>
      </c>
      <c r="M162" s="342" t="str">
        <f aca="false">YEAR('LT records'!$B162)&amp;"-"&amp;MONTH('LT records'!$B162)</f>
        <v>2015-10</v>
      </c>
      <c r="N162" s="343" t="n">
        <f aca="false">'LT records'!$H162+'LT records'!$I162</f>
        <v>500</v>
      </c>
      <c r="O162" s="335"/>
      <c r="P162" s="335"/>
      <c r="Q162" s="336"/>
      <c r="R162" s="337"/>
      <c r="T162" s="327"/>
    </row>
    <row r="163" customFormat="false" ht="12.8" hidden="false" customHeight="false" outlineLevel="0" collapsed="false">
      <c r="B163" s="270" t="n">
        <v>42303</v>
      </c>
      <c r="C163" s="348" t="n">
        <f aca="false">YEAR('LT records'!$B163)</f>
        <v>2015</v>
      </c>
      <c r="D163" s="346" t="str">
        <f aca="false">'LT records'!$C163&amp;"-"&amp;MONTH('LT records'!$B163)</f>
        <v>2015-10</v>
      </c>
      <c r="E163" s="324" t="s">
        <v>340</v>
      </c>
      <c r="F163" s="324" t="str">
        <f aca="false">LEFT('LT records'!$E163,3)</f>
        <v>MyF</v>
      </c>
      <c r="G163" s="324" t="str">
        <f aca="false">IF(OR('LT records'!$F163="MyF", 'LT records'!$F163="DEP"),"DEP",IF('LT records'!$F163="CSH","CSH",IF('LT records'!$F163="BON","BND",IF('LT records'!$F163="Sma","MKT",IF(OR('LT records'!$F163="Val", 'LT records'!$F163="EUR"),"FCY",IF('LT records'!$F163="X-P","PP3",IF('LT records'!$F163="X-m","XAU","???")))))))</f>
        <v>DEP</v>
      </c>
      <c r="H163" s="325" t="n">
        <v>-4.12</v>
      </c>
      <c r="I163" s="340" t="n">
        <v>4.12</v>
      </c>
      <c r="J163" s="325"/>
      <c r="K163" s="340"/>
      <c r="L163" s="341" t="s">
        <v>342</v>
      </c>
      <c r="M163" s="342" t="str">
        <f aca="false">YEAR('LT records'!$B163)&amp;"-"&amp;MONTH('LT records'!$B163)</f>
        <v>2015-10</v>
      </c>
      <c r="N163" s="343" t="n">
        <f aca="false">'LT records'!$H163+'LT records'!$I163</f>
        <v>0</v>
      </c>
      <c r="O163" s="335"/>
      <c r="P163" s="335"/>
      <c r="Q163" s="336"/>
      <c r="R163" s="337"/>
      <c r="T163" s="327"/>
    </row>
    <row r="164" customFormat="false" ht="12.8" hidden="false" customHeight="false" outlineLevel="0" collapsed="false">
      <c r="B164" s="270" t="n">
        <v>42303</v>
      </c>
      <c r="C164" s="348" t="n">
        <f aca="false">YEAR('LT records'!$B164)</f>
        <v>2015</v>
      </c>
      <c r="D164" s="346" t="str">
        <f aca="false">'LT records'!$C164&amp;"-"&amp;MONTH('LT records'!$B164)</f>
        <v>2015-10</v>
      </c>
      <c r="E164" s="324" t="s">
        <v>363</v>
      </c>
      <c r="F164" s="324" t="str">
        <f aca="false">LEFT('LT records'!$E164,3)</f>
        <v>MyF</v>
      </c>
      <c r="G164" s="324" t="str">
        <f aca="false">IF(OR('LT records'!$F164="MyF", 'LT records'!$F164="DEP"),"DEP",IF('LT records'!$F164="CSH","CSH",IF('LT records'!$F164="BON","BND",IF('LT records'!$F164="Sma","MKT",IF(OR('LT records'!$F164="Val", 'LT records'!$F164="EUR"),"FCY",IF('LT records'!$F164="X-P","PP3",IF('LT records'!$F164="X-m","XAU","???")))))))</f>
        <v>DEP</v>
      </c>
      <c r="H164" s="325" t="n">
        <v>500</v>
      </c>
      <c r="I164" s="340"/>
      <c r="J164" s="325"/>
      <c r="K164" s="340"/>
      <c r="L164" s="341" t="s">
        <v>356</v>
      </c>
      <c r="M164" s="342" t="str">
        <f aca="false">YEAR('LT records'!$B164)&amp;"-"&amp;MONTH('LT records'!$B164)</f>
        <v>2015-10</v>
      </c>
      <c r="N164" s="343" t="n">
        <f aca="false">'LT records'!$H164+'LT records'!$I164</f>
        <v>500</v>
      </c>
      <c r="O164" s="335"/>
      <c r="P164" s="335"/>
      <c r="Q164" s="336"/>
      <c r="R164" s="337"/>
      <c r="T164" s="327"/>
    </row>
    <row r="165" customFormat="false" ht="12.8" hidden="false" customHeight="false" outlineLevel="0" collapsed="false">
      <c r="B165" s="270" t="n">
        <v>42304</v>
      </c>
      <c r="C165" s="348" t="n">
        <f aca="false">YEAR('LT records'!$B165)</f>
        <v>2015</v>
      </c>
      <c r="D165" s="346" t="str">
        <f aca="false">'LT records'!$C165&amp;"-"&amp;MONTH('LT records'!$B165)</f>
        <v>2015-10</v>
      </c>
      <c r="E165" s="324" t="s">
        <v>355</v>
      </c>
      <c r="F165" s="324" t="str">
        <f aca="false">LEFT('LT records'!$E165,3)</f>
        <v>MyF</v>
      </c>
      <c r="G165" s="324" t="str">
        <f aca="false">IF(OR('LT records'!$F165="MyF", 'LT records'!$F165="DEP"),"DEP",IF('LT records'!$F165="CSH","CSH",IF('LT records'!$F165="BON","BND",IF('LT records'!$F165="Sma","MKT",IF(OR('LT records'!$F165="Val", 'LT records'!$F165="EUR"),"FCY",IF('LT records'!$F165="X-P","PP3",IF('LT records'!$F165="X-m","XAU","???")))))))</f>
        <v>DEP</v>
      </c>
      <c r="H165" s="325" t="n">
        <v>0</v>
      </c>
      <c r="I165" s="340" t="n">
        <f aca="false">48.09-7.69</f>
        <v>40.4</v>
      </c>
      <c r="J165" s="325"/>
      <c r="K165" s="340"/>
      <c r="L165" s="341" t="s">
        <v>342</v>
      </c>
      <c r="M165" s="342" t="str">
        <f aca="false">YEAR('LT records'!$B165)&amp;"-"&amp;MONTH('LT records'!$B165)</f>
        <v>2015-10</v>
      </c>
      <c r="N165" s="343" t="n">
        <f aca="false">'LT records'!$H165+'LT records'!$I165</f>
        <v>40.4</v>
      </c>
      <c r="O165" s="335"/>
      <c r="P165" s="335"/>
      <c r="Q165" s="336"/>
      <c r="R165" s="337"/>
      <c r="T165" s="327"/>
    </row>
    <row r="166" customFormat="false" ht="12.8" hidden="false" customHeight="false" outlineLevel="0" collapsed="false">
      <c r="B166" s="270" t="n">
        <v>42324</v>
      </c>
      <c r="C166" s="348" t="n">
        <f aca="false">YEAR('LT records'!$B166)</f>
        <v>2015</v>
      </c>
      <c r="D166" s="346" t="str">
        <f aca="false">'LT records'!$C166&amp;"-"&amp;MONTH('LT records'!$B166)</f>
        <v>2015-11</v>
      </c>
      <c r="E166" s="324" t="s">
        <v>360</v>
      </c>
      <c r="F166" s="324" t="str">
        <f aca="false">LEFT('LT records'!$E166,3)</f>
        <v>MyF</v>
      </c>
      <c r="G166" s="324" t="str">
        <f aca="false">IF(OR('LT records'!$F166="MyF", 'LT records'!$F166="DEP"),"DEP",IF('LT records'!$F166="CSH","CSH",IF('LT records'!$F166="BON","BND",IF('LT records'!$F166="Sma","MKT",IF(OR('LT records'!$F166="Val", 'LT records'!$F166="EUR"),"FCY",IF('LT records'!$F166="X-P","PP3",IF('LT records'!$F166="X-m","XAU","???")))))))</f>
        <v>DEP</v>
      </c>
      <c r="H166" s="325" t="n">
        <v>-2.65</v>
      </c>
      <c r="I166" s="340" t="n">
        <f aca="false">3.16-0.51</f>
        <v>2.65</v>
      </c>
      <c r="J166" s="325"/>
      <c r="K166" s="340"/>
      <c r="L166" s="341" t="s">
        <v>364</v>
      </c>
      <c r="M166" s="342" t="str">
        <f aca="false">YEAR('LT records'!$B166)&amp;"-"&amp;MONTH('LT records'!$B166)</f>
        <v>2015-11</v>
      </c>
      <c r="N166" s="343" t="n">
        <f aca="false">'LT records'!$H166+'LT records'!$I166</f>
        <v>0</v>
      </c>
      <c r="O166" s="335"/>
      <c r="P166" s="335"/>
      <c r="Q166" s="336"/>
      <c r="R166" s="337"/>
      <c r="T166" s="327"/>
    </row>
    <row r="167" customFormat="false" ht="12.8" hidden="false" customHeight="false" outlineLevel="0" collapsed="false">
      <c r="B167" s="270" t="n">
        <v>42328</v>
      </c>
      <c r="C167" s="348" t="n">
        <f aca="false">YEAR('LT records'!$B167)</f>
        <v>2015</v>
      </c>
      <c r="D167" s="346" t="str">
        <f aca="false">'LT records'!$C167&amp;"-"&amp;MONTH('LT records'!$B167)</f>
        <v>2015-11</v>
      </c>
      <c r="E167" s="324" t="s">
        <v>344</v>
      </c>
      <c r="F167" s="324" t="str">
        <f aca="false">LEFT('LT records'!$E167,3)</f>
        <v>MyF</v>
      </c>
      <c r="G167" s="324" t="str">
        <f aca="false">IF(OR('LT records'!$F167="MyF", 'LT records'!$F167="DEP"),"DEP",IF('LT records'!$F167="CSH","CSH",IF('LT records'!$F167="BON","BND",IF('LT records'!$F167="Sma","MKT",IF(OR('LT records'!$F167="Val", 'LT records'!$F167="EUR"),"FCY",IF('LT records'!$F167="X-P","PP3",IF('LT records'!$F167="X-m","XAU","???")))))))</f>
        <v>DEP</v>
      </c>
      <c r="H167" s="325" t="n">
        <v>0</v>
      </c>
      <c r="I167" s="340" t="n">
        <f aca="false">46.66-7.47</f>
        <v>39.19</v>
      </c>
      <c r="J167" s="325"/>
      <c r="K167" s="340"/>
      <c r="L167" s="341" t="s">
        <v>342</v>
      </c>
      <c r="M167" s="342" t="str">
        <f aca="false">YEAR('LT records'!$B167)&amp;"-"&amp;MONTH('LT records'!$B167)</f>
        <v>2015-11</v>
      </c>
      <c r="N167" s="343" t="n">
        <f aca="false">'LT records'!$H167+'LT records'!$I167</f>
        <v>39.19</v>
      </c>
      <c r="O167" s="335"/>
      <c r="P167" s="335"/>
      <c r="Q167" s="336"/>
      <c r="R167" s="337"/>
      <c r="T167" s="327"/>
    </row>
    <row r="168" customFormat="false" ht="12.8" hidden="false" customHeight="false" outlineLevel="0" collapsed="false">
      <c r="B168" s="270" t="n">
        <v>42334</v>
      </c>
      <c r="C168" s="348" t="n">
        <f aca="false">YEAR('LT records'!$B168)</f>
        <v>2015</v>
      </c>
      <c r="D168" s="346" t="str">
        <f aca="false">'LT records'!$C168&amp;"-"&amp;MONTH('LT records'!$B168)</f>
        <v>2015-11</v>
      </c>
      <c r="E168" s="324" t="s">
        <v>340</v>
      </c>
      <c r="F168" s="324" t="str">
        <f aca="false">LEFT('LT records'!$E168,3)</f>
        <v>MyF</v>
      </c>
      <c r="G168" s="324" t="str">
        <f aca="false">IF(OR('LT records'!$F168="MyF", 'LT records'!$F168="DEP"),"DEP",IF('LT records'!$F168="CSH","CSH",IF('LT records'!$F168="BON","BND",IF('LT records'!$F168="Sma","MKT",IF(OR('LT records'!$F168="Val", 'LT records'!$F168="EUR"),"FCY",IF('LT records'!$F168="X-P","PP3",IF('LT records'!$F168="X-m","XAU","???")))))))</f>
        <v>DEP</v>
      </c>
      <c r="H168" s="325" t="n">
        <v>-4</v>
      </c>
      <c r="I168" s="340" t="n">
        <v>4</v>
      </c>
      <c r="J168" s="325"/>
      <c r="K168" s="340"/>
      <c r="L168" s="341" t="s">
        <v>342</v>
      </c>
      <c r="M168" s="342" t="str">
        <f aca="false">YEAR('LT records'!$B168)&amp;"-"&amp;MONTH('LT records'!$B168)</f>
        <v>2015-11</v>
      </c>
      <c r="N168" s="343" t="n">
        <f aca="false">'LT records'!$H168+'LT records'!$I168</f>
        <v>0</v>
      </c>
      <c r="O168" s="335"/>
      <c r="P168" s="335"/>
      <c r="Q168" s="336"/>
      <c r="R168" s="337"/>
      <c r="T168" s="327"/>
    </row>
    <row r="169" customFormat="false" ht="12.8" hidden="false" customHeight="false" outlineLevel="0" collapsed="false">
      <c r="B169" s="270" t="n">
        <v>42334</v>
      </c>
      <c r="C169" s="348" t="n">
        <f aca="false">YEAR('LT records'!$B169)</f>
        <v>2015</v>
      </c>
      <c r="D169" s="346" t="str">
        <f aca="false">'LT records'!$C169&amp;"-"&amp;MONTH('LT records'!$B169)</f>
        <v>2015-11</v>
      </c>
      <c r="E169" s="324" t="s">
        <v>363</v>
      </c>
      <c r="F169" s="324" t="str">
        <f aca="false">LEFT('LT records'!$E169,3)</f>
        <v>MyF</v>
      </c>
      <c r="G169" s="324" t="str">
        <f aca="false">IF(OR('LT records'!$F169="MyF", 'LT records'!$F169="DEP"),"DEP",IF('LT records'!$F169="CSH","CSH",IF('LT records'!$F169="BON","BND",IF('LT records'!$F169="Sma","MKT",IF(OR('LT records'!$F169="Val", 'LT records'!$F169="EUR"),"FCY",IF('LT records'!$F169="X-P","PP3",IF('LT records'!$F169="X-m","XAU","???")))))))</f>
        <v>DEP</v>
      </c>
      <c r="H169" s="325" t="n">
        <v>1999.5</v>
      </c>
      <c r="I169" s="340" t="n">
        <v>0.5</v>
      </c>
      <c r="J169" s="325"/>
      <c r="K169" s="340"/>
      <c r="L169" s="341" t="s">
        <v>364</v>
      </c>
      <c r="M169" s="342" t="str">
        <f aca="false">YEAR('LT records'!$B169)&amp;"-"&amp;MONTH('LT records'!$B169)</f>
        <v>2015-11</v>
      </c>
      <c r="N169" s="343" t="n">
        <f aca="false">'LT records'!$H169+'LT records'!$I169</f>
        <v>2000</v>
      </c>
      <c r="O169" s="335"/>
      <c r="P169" s="335"/>
      <c r="Q169" s="336"/>
      <c r="R169" s="337"/>
      <c r="T169" s="327"/>
    </row>
    <row r="170" customFormat="false" ht="12.8" hidden="false" customHeight="false" outlineLevel="0" collapsed="false">
      <c r="B170" s="270" t="n">
        <v>42335</v>
      </c>
      <c r="C170" s="348" t="n">
        <f aca="false">YEAR('LT records'!$B170)</f>
        <v>2015</v>
      </c>
      <c r="D170" s="346" t="str">
        <f aca="false">'LT records'!$C170&amp;"-"&amp;MONTH('LT records'!$B170)</f>
        <v>2015-11</v>
      </c>
      <c r="E170" s="324" t="s">
        <v>337</v>
      </c>
      <c r="F170" s="324" t="str">
        <f aca="false">LEFT('LT records'!$E170,3)</f>
        <v>MyF</v>
      </c>
      <c r="G170" s="324" t="str">
        <f aca="false">IF(OR('LT records'!$F170="MyF", 'LT records'!$F170="DEP"),"DEP",IF('LT records'!$F170="CSH","CSH",IF('LT records'!$F170="BON","BND",IF('LT records'!$F170="Sma","MKT",IF(OR('LT records'!$F170="Val", 'LT records'!$F170="EUR"),"FCY",IF('LT records'!$F170="X-P","PP3",IF('LT records'!$F170="X-m","XAU","???")))))))</f>
        <v>DEP</v>
      </c>
      <c r="H170" s="325" t="n">
        <v>0</v>
      </c>
      <c r="I170" s="340" t="n">
        <f aca="false">46.65-7.46</f>
        <v>39.19</v>
      </c>
      <c r="J170" s="325"/>
      <c r="K170" s="340"/>
      <c r="L170" s="341" t="s">
        <v>342</v>
      </c>
      <c r="M170" s="342" t="str">
        <f aca="false">YEAR('LT records'!$B170)&amp;"-"&amp;MONTH('LT records'!$B170)</f>
        <v>2015-11</v>
      </c>
      <c r="N170" s="343" t="n">
        <f aca="false">'LT records'!$H170+'LT records'!$I170</f>
        <v>39.19</v>
      </c>
      <c r="O170" s="335"/>
      <c r="P170" s="335"/>
      <c r="Q170" s="336"/>
      <c r="R170" s="337"/>
      <c r="T170" s="327"/>
    </row>
    <row r="171" customFormat="false" ht="12.8" hidden="false" customHeight="false" outlineLevel="0" collapsed="false">
      <c r="B171" s="270" t="n">
        <v>42354</v>
      </c>
      <c r="C171" s="348" t="n">
        <f aca="false">YEAR('LT records'!$B171)</f>
        <v>2015</v>
      </c>
      <c r="D171" s="346" t="str">
        <f aca="false">'LT records'!$C171&amp;"-"&amp;MONTH('LT records'!$B171)</f>
        <v>2015-12</v>
      </c>
      <c r="E171" s="324" t="s">
        <v>360</v>
      </c>
      <c r="F171" s="324" t="str">
        <f aca="false">LEFT('LT records'!$E171,3)</f>
        <v>MyF</v>
      </c>
      <c r="G171" s="324" t="str">
        <f aca="false">IF(OR('LT records'!$F171="MyF", 'LT records'!$F171="DEP"),"DEP",IF('LT records'!$F171="CSH","CSH",IF('LT records'!$F171="BON","BND",IF('LT records'!$F171="Sma","MKT",IF(OR('LT records'!$F171="Val", 'LT records'!$F171="EUR"),"FCY",IF('LT records'!$F171="X-P","PP3",IF('LT records'!$F171="X-m","XAU","???")))))))</f>
        <v>DEP</v>
      </c>
      <c r="H171" s="325" t="n">
        <f aca="false">500-2.16</f>
        <v>497.84</v>
      </c>
      <c r="I171" s="340" t="n">
        <f aca="false">2.57-0.41</f>
        <v>2.16</v>
      </c>
      <c r="J171" s="325"/>
      <c r="K171" s="340"/>
      <c r="L171" s="341" t="s">
        <v>365</v>
      </c>
      <c r="M171" s="342" t="str">
        <f aca="false">YEAR('LT records'!$B171)&amp;"-"&amp;MONTH('LT records'!$B171)</f>
        <v>2015-12</v>
      </c>
      <c r="N171" s="343" t="n">
        <f aca="false">'LT records'!$H171+'LT records'!$I171</f>
        <v>500</v>
      </c>
      <c r="O171" s="335"/>
      <c r="P171" s="335"/>
      <c r="Q171" s="336"/>
      <c r="R171" s="337"/>
      <c r="T171" s="327"/>
    </row>
    <row r="172" customFormat="false" ht="12.8" hidden="false" customHeight="false" outlineLevel="0" collapsed="false">
      <c r="B172" s="270" t="n">
        <v>42362</v>
      </c>
      <c r="C172" s="348" t="n">
        <f aca="false">YEAR('LT records'!$B172)</f>
        <v>2015</v>
      </c>
      <c r="D172" s="346" t="str">
        <f aca="false">'LT records'!$C172&amp;"-"&amp;MONTH('LT records'!$B172)</f>
        <v>2015-12</v>
      </c>
      <c r="E172" s="324" t="s">
        <v>350</v>
      </c>
      <c r="F172" s="324" t="str">
        <f aca="false">LEFT('LT records'!$E172,3)</f>
        <v>MyF</v>
      </c>
      <c r="G172" s="324" t="str">
        <f aca="false">IF(OR('LT records'!$F172="MyF", 'LT records'!$F172="DEP"),"DEP",IF('LT records'!$F172="CSH","CSH",IF('LT records'!$F172="BON","BND",IF('LT records'!$F172="Sma","MKT",IF(OR('LT records'!$F172="Val", 'LT records'!$F172="EUR"),"FCY",IF('LT records'!$F172="X-P","PP3",IF('LT records'!$F172="X-m","XAU","???")))))))</f>
        <v>DEP</v>
      </c>
      <c r="H172" s="325" t="n">
        <v>0</v>
      </c>
      <c r="I172" s="340" t="n">
        <v>39.27</v>
      </c>
      <c r="J172" s="325"/>
      <c r="K172" s="340"/>
      <c r="L172" s="341" t="s">
        <v>342</v>
      </c>
      <c r="M172" s="342" t="str">
        <f aca="false">YEAR('LT records'!$B172)&amp;"-"&amp;MONTH('LT records'!$B172)</f>
        <v>2015-12</v>
      </c>
      <c r="N172" s="343" t="n">
        <f aca="false">'LT records'!$H172+'LT records'!$I172</f>
        <v>39.27</v>
      </c>
      <c r="O172" s="335"/>
      <c r="P172" s="335"/>
      <c r="Q172" s="336"/>
      <c r="R172" s="337"/>
      <c r="T172" s="327"/>
    </row>
    <row r="173" customFormat="false" ht="12.8" hidden="false" customHeight="false" outlineLevel="0" collapsed="false">
      <c r="B173" s="270" t="n">
        <v>42366</v>
      </c>
      <c r="C173" s="348" t="n">
        <f aca="false">YEAR('LT records'!$B173)</f>
        <v>2015</v>
      </c>
      <c r="D173" s="346" t="str">
        <f aca="false">'LT records'!$C173&amp;"-"&amp;MONTH('LT records'!$B173)</f>
        <v>2015-12</v>
      </c>
      <c r="E173" s="324" t="s">
        <v>340</v>
      </c>
      <c r="F173" s="324" t="str">
        <f aca="false">LEFT('LT records'!$E173,3)</f>
        <v>MyF</v>
      </c>
      <c r="G173" s="324" t="str">
        <f aca="false">IF(OR('LT records'!$F173="MyF", 'LT records'!$F173="DEP"),"DEP",IF('LT records'!$F173="CSH","CSH",IF('LT records'!$F173="BON","BND",IF('LT records'!$F173="Sma","MKT",IF(OR('LT records'!$F173="Val", 'LT records'!$F173="EUR"),"FCY",IF('LT records'!$F173="X-P","PP3",IF('LT records'!$F173="X-m","XAU","???")))))))</f>
        <v>DEP</v>
      </c>
      <c r="H173" s="325" t="n">
        <f aca="false">1000-3.09</f>
        <v>996.91</v>
      </c>
      <c r="I173" s="340" t="n">
        <v>3.09</v>
      </c>
      <c r="J173" s="325"/>
      <c r="K173" s="340"/>
      <c r="L173" s="341" t="s">
        <v>342</v>
      </c>
      <c r="M173" s="342" t="str">
        <f aca="false">YEAR('LT records'!$B173)&amp;"-"&amp;MONTH('LT records'!$B173)</f>
        <v>2015-12</v>
      </c>
      <c r="N173" s="343" t="n">
        <f aca="false">'LT records'!$H173+'LT records'!$I173</f>
        <v>1000</v>
      </c>
      <c r="O173" s="347"/>
      <c r="P173" s="347"/>
      <c r="Q173" s="336"/>
      <c r="R173" s="337"/>
      <c r="T173" s="327"/>
    </row>
    <row r="174" customFormat="false" ht="12.8" hidden="false" customHeight="false" outlineLevel="0" collapsed="false">
      <c r="B174" s="270" t="n">
        <v>42366</v>
      </c>
      <c r="C174" s="348" t="n">
        <f aca="false">YEAR('LT records'!$B174)</f>
        <v>2015</v>
      </c>
      <c r="D174" s="346" t="str">
        <f aca="false">'LT records'!$C174&amp;"-"&amp;MONTH('LT records'!$B174)</f>
        <v>2015-12</v>
      </c>
      <c r="E174" s="324" t="s">
        <v>363</v>
      </c>
      <c r="F174" s="324" t="str">
        <f aca="false">LEFT('LT records'!$E174,3)</f>
        <v>MyF</v>
      </c>
      <c r="G174" s="324" t="str">
        <f aca="false">IF(OR('LT records'!$F174="MyF", 'LT records'!$F174="DEP"),"DEP",IF('LT records'!$F174="CSH","CSH",IF('LT records'!$F174="BON","BND",IF('LT records'!$F174="Sma","MKT",IF(OR('LT records'!$F174="Val", 'LT records'!$F174="EUR"),"FCY",IF('LT records'!$F174="X-P","PP3",IF('LT records'!$F174="X-m","XAU","???")))))))</f>
        <v>DEP</v>
      </c>
      <c r="H174" s="325" t="n">
        <f aca="false">500-1.93</f>
        <v>498.07</v>
      </c>
      <c r="I174" s="340" t="n">
        <v>1.93</v>
      </c>
      <c r="J174" s="325"/>
      <c r="K174" s="340"/>
      <c r="L174" s="341" t="s">
        <v>365</v>
      </c>
      <c r="M174" s="342" t="str">
        <f aca="false">YEAR('LT records'!$B174)&amp;"-"&amp;MONTH('LT records'!$B174)</f>
        <v>2015-12</v>
      </c>
      <c r="N174" s="343" t="n">
        <f aca="false">'LT records'!$H174+'LT records'!$I174</f>
        <v>500</v>
      </c>
      <c r="O174" s="335"/>
      <c r="P174" s="335"/>
      <c r="Q174" s="336"/>
      <c r="R174" s="337"/>
      <c r="T174" s="327"/>
    </row>
    <row r="175" customFormat="false" ht="12.8" hidden="false" customHeight="false" outlineLevel="0" collapsed="false">
      <c r="B175" s="270" t="n">
        <v>42369</v>
      </c>
      <c r="C175" s="348" t="n">
        <f aca="false">YEAR('LT records'!$B175)</f>
        <v>2015</v>
      </c>
      <c r="D175" s="346" t="str">
        <f aca="false">'LT records'!$C175&amp;"-"&amp;MONTH('LT records'!$B175)</f>
        <v>2015-12</v>
      </c>
      <c r="E175" s="324" t="s">
        <v>340</v>
      </c>
      <c r="F175" s="324" t="str">
        <f aca="false">LEFT('LT records'!$E175,3)</f>
        <v>MyF</v>
      </c>
      <c r="G175" s="324" t="str">
        <f aca="false">IF(OR('LT records'!$F175="MyF", 'LT records'!$F175="DEP"),"DEP",IF('LT records'!$F175="CSH","CSH",IF('LT records'!$F175="BON","BND",IF('LT records'!$F175="Sma","MKT",IF(OR('LT records'!$F175="Val", 'LT records'!$F175="EUR"),"FCY",IF('LT records'!$F175="X-P","PP3",IF('LT records'!$F175="X-m","XAU","???")))))))</f>
        <v>DEP</v>
      </c>
      <c r="H175" s="325" t="n">
        <v>5000</v>
      </c>
      <c r="I175" s="340"/>
      <c r="J175" s="325"/>
      <c r="K175" s="340"/>
      <c r="L175" s="341" t="s">
        <v>366</v>
      </c>
      <c r="M175" s="342" t="str">
        <f aca="false">YEAR('LT records'!$B175)&amp;"-"&amp;MONTH('LT records'!$B175)</f>
        <v>2015-12</v>
      </c>
      <c r="N175" s="343" t="n">
        <f aca="false">'LT records'!$H175+'LT records'!$I175</f>
        <v>5000</v>
      </c>
      <c r="O175" s="335"/>
      <c r="P175" s="335"/>
      <c r="Q175" s="336"/>
      <c r="R175" s="337"/>
      <c r="T175" s="327"/>
    </row>
    <row r="176" customFormat="false" ht="12.8" hidden="false" customHeight="false" outlineLevel="0" collapsed="false">
      <c r="B176" s="270" t="n">
        <v>42387</v>
      </c>
      <c r="C176" s="348" t="n">
        <f aca="false">YEAR('LT records'!$B176)</f>
        <v>2016</v>
      </c>
      <c r="D176" s="346" t="str">
        <f aca="false">'LT records'!$C176&amp;"-"&amp;MONTH('LT records'!$B176)</f>
        <v>2016-1</v>
      </c>
      <c r="E176" s="324" t="s">
        <v>360</v>
      </c>
      <c r="F176" s="324" t="str">
        <f aca="false">LEFT('LT records'!$E176,3)</f>
        <v>MyF</v>
      </c>
      <c r="G176" s="324" t="str">
        <f aca="false">IF(OR('LT records'!$F176="MyF", 'LT records'!$F176="DEP"),"DEP",IF('LT records'!$F176="CSH","CSH",IF('LT records'!$F176="BON","BND",IF('LT records'!$F176="Sma","MKT",IF(OR('LT records'!$F176="Val", 'LT records'!$F176="EUR"),"FCY",IF('LT records'!$F176="X-P","PP3",IF('LT records'!$F176="X-m","XAU","???")))))))</f>
        <v>DEP</v>
      </c>
      <c r="H176" s="325" t="n">
        <v>997.68</v>
      </c>
      <c r="I176" s="340" t="n">
        <v>2.32</v>
      </c>
      <c r="J176" s="325"/>
      <c r="K176" s="340"/>
      <c r="L176" s="341" t="s">
        <v>365</v>
      </c>
      <c r="M176" s="342" t="str">
        <f aca="false">YEAR('LT records'!$B176)&amp;"-"&amp;MONTH('LT records'!$B176)</f>
        <v>2016-1</v>
      </c>
      <c r="N176" s="343" t="n">
        <f aca="false">'LT records'!$H176+'LT records'!$I176</f>
        <v>1000</v>
      </c>
      <c r="O176" s="335"/>
      <c r="P176" s="335"/>
      <c r="Q176" s="336"/>
      <c r="R176" s="337"/>
      <c r="T176" s="327"/>
    </row>
    <row r="177" customFormat="false" ht="12.8" hidden="false" customHeight="false" outlineLevel="0" collapsed="false">
      <c r="B177" s="270" t="n">
        <v>42396</v>
      </c>
      <c r="C177" s="348" t="n">
        <f aca="false">YEAR('LT records'!$B177)</f>
        <v>2016</v>
      </c>
      <c r="D177" s="346" t="str">
        <f aca="false">'LT records'!$C177&amp;"-"&amp;MONTH('LT records'!$B177)</f>
        <v>2016-1</v>
      </c>
      <c r="E177" s="324" t="s">
        <v>355</v>
      </c>
      <c r="F177" s="324" t="str">
        <f aca="false">LEFT('LT records'!$E177,3)</f>
        <v>MyF</v>
      </c>
      <c r="G177" s="324" t="str">
        <f aca="false">IF(OR('LT records'!$F177="MyF", 'LT records'!$F177="DEP"),"DEP",IF('LT records'!$F177="CSH","CSH",IF('LT records'!$F177="BON","BND",IF('LT records'!$F177="Sma","MKT",IF(OR('LT records'!$F177="Val", 'LT records'!$F177="EUR"),"FCY",IF('LT records'!$F177="X-P","PP3",IF('LT records'!$F177="X-m","XAU","???")))))))</f>
        <v>DEP</v>
      </c>
      <c r="H177" s="325" t="n">
        <v>0</v>
      </c>
      <c r="I177" s="340" t="n">
        <v>36.26</v>
      </c>
      <c r="J177" s="325"/>
      <c r="K177" s="340"/>
      <c r="L177" s="341" t="s">
        <v>40</v>
      </c>
      <c r="M177" s="342" t="str">
        <f aca="false">YEAR('LT records'!$B177)&amp;"-"&amp;MONTH('LT records'!$B177)</f>
        <v>2016-1</v>
      </c>
      <c r="N177" s="343" t="n">
        <f aca="false">'LT records'!$H177+'LT records'!$I177</f>
        <v>36.26</v>
      </c>
      <c r="O177" s="335"/>
      <c r="P177" s="335"/>
      <c r="Q177" s="336"/>
      <c r="R177" s="337"/>
      <c r="T177" s="327"/>
    </row>
    <row r="178" customFormat="false" ht="12.8" hidden="false" customHeight="false" outlineLevel="0" collapsed="false">
      <c r="B178" s="270" t="n">
        <v>42397</v>
      </c>
      <c r="C178" s="348" t="n">
        <f aca="false">YEAR('LT records'!$B178)</f>
        <v>2016</v>
      </c>
      <c r="D178" s="346" t="str">
        <f aca="false">'LT records'!$C178&amp;"-"&amp;MONTH('LT records'!$B178)</f>
        <v>2016-1</v>
      </c>
      <c r="E178" s="324" t="s">
        <v>363</v>
      </c>
      <c r="F178" s="324" t="str">
        <f aca="false">LEFT('LT records'!$E178,3)</f>
        <v>MyF</v>
      </c>
      <c r="G178" s="324" t="str">
        <f aca="false">IF(OR('LT records'!$F178="MyF", 'LT records'!$F178="DEP"),"DEP",IF('LT records'!$F178="CSH","CSH",IF('LT records'!$F178="BON","BND",IF('LT records'!$F178="Sma","MKT",IF(OR('LT records'!$F178="Val", 'LT records'!$F178="EUR"),"FCY",IF('LT records'!$F178="X-P","PP3",IF('LT records'!$F178="X-m","XAU","???")))))))</f>
        <v>DEP</v>
      </c>
      <c r="H178" s="325" t="n">
        <v>997.76</v>
      </c>
      <c r="I178" s="340" t="n">
        <v>2.24</v>
      </c>
      <c r="J178" s="325"/>
      <c r="K178" s="340"/>
      <c r="L178" s="341" t="s">
        <v>365</v>
      </c>
      <c r="M178" s="342" t="str">
        <f aca="false">YEAR('LT records'!$B178)&amp;"-"&amp;MONTH('LT records'!$B178)</f>
        <v>2016-1</v>
      </c>
      <c r="N178" s="343" t="n">
        <f aca="false">'LT records'!$H178+'LT records'!$I178</f>
        <v>1000</v>
      </c>
      <c r="O178" s="335"/>
      <c r="P178" s="335"/>
      <c r="Q178" s="336"/>
      <c r="R178" s="337"/>
      <c r="T178" s="327"/>
    </row>
    <row r="179" customFormat="false" ht="12.8" hidden="false" customHeight="false" outlineLevel="0" collapsed="false">
      <c r="B179" s="270" t="n">
        <v>42418</v>
      </c>
      <c r="C179" s="348" t="n">
        <f aca="false">YEAR('LT records'!$B179)</f>
        <v>2016</v>
      </c>
      <c r="D179" s="346" t="str">
        <f aca="false">'LT records'!$C179&amp;"-"&amp;MONTH('LT records'!$B179)</f>
        <v>2016-2</v>
      </c>
      <c r="E179" s="324" t="s">
        <v>360</v>
      </c>
      <c r="F179" s="324" t="str">
        <f aca="false">LEFT('LT records'!$E179,3)</f>
        <v>MyF</v>
      </c>
      <c r="G179" s="324" t="str">
        <f aca="false">IF(OR('LT records'!$F179="MyF", 'LT records'!$F179="DEP"),"DEP",IF('LT records'!$F179="CSH","CSH",IF('LT records'!$F179="BON","BND",IF('LT records'!$F179="Sma","MKT",IF(OR('LT records'!$F179="Val", 'LT records'!$F179="EUR"),"FCY",IF('LT records'!$F179="X-P","PP3",IF('LT records'!$F179="X-m","XAU","???")))))))</f>
        <v>DEP</v>
      </c>
      <c r="H179" s="325" t="n">
        <v>-2.99</v>
      </c>
      <c r="I179" s="340" t="n">
        <v>2.99</v>
      </c>
      <c r="J179" s="325"/>
      <c r="K179" s="340"/>
      <c r="L179" s="341" t="s">
        <v>40</v>
      </c>
      <c r="M179" s="342" t="str">
        <f aca="false">YEAR('LT records'!$B179)&amp;"-"&amp;MONTH('LT records'!$B179)</f>
        <v>2016-2</v>
      </c>
      <c r="N179" s="343" t="n">
        <f aca="false">'LT records'!$H179+'LT records'!$I179</f>
        <v>0</v>
      </c>
      <c r="O179" s="335"/>
      <c r="P179" s="335"/>
      <c r="Q179" s="336"/>
      <c r="R179" s="337"/>
      <c r="T179" s="327"/>
    </row>
    <row r="180" customFormat="false" ht="12.8" hidden="false" customHeight="false" outlineLevel="0" collapsed="false">
      <c r="B180" s="270" t="n">
        <v>42418</v>
      </c>
      <c r="C180" s="348" t="n">
        <f aca="false">YEAR('LT records'!$B180)</f>
        <v>2016</v>
      </c>
      <c r="D180" s="346" t="str">
        <f aca="false">'LT records'!$C180&amp;"-"&amp;MONTH('LT records'!$B180)</f>
        <v>2016-2</v>
      </c>
      <c r="E180" s="324" t="s">
        <v>367</v>
      </c>
      <c r="F180" s="324" t="str">
        <f aca="false">LEFT('LT records'!$E180,3)</f>
        <v>MyF</v>
      </c>
      <c r="G180" s="324" t="str">
        <f aca="false">IF(OR('LT records'!$F180="MyF", 'LT records'!$F180="DEP"),"DEP",IF('LT records'!$F180="CSH","CSH",IF('LT records'!$F180="BON","BND",IF('LT records'!$F180="Sma","MKT",IF(OR('LT records'!$F180="Val", 'LT records'!$F180="EUR"),"FCY",IF('LT records'!$F180="X-P","PP3",IF('LT records'!$F180="X-m","XAU","???")))))))</f>
        <v>DEP</v>
      </c>
      <c r="H180" s="325" t="n">
        <v>1500</v>
      </c>
      <c r="I180" s="340"/>
      <c r="J180" s="325"/>
      <c r="K180" s="340"/>
      <c r="L180" s="341" t="s">
        <v>368</v>
      </c>
      <c r="M180" s="342" t="str">
        <f aca="false">YEAR('LT records'!$B180)&amp;"-"&amp;MONTH('LT records'!$B180)</f>
        <v>2016-2</v>
      </c>
      <c r="N180" s="343" t="n">
        <f aca="false">'LT records'!$H180+'LT records'!$I180</f>
        <v>1500</v>
      </c>
      <c r="O180" s="335"/>
      <c r="P180" s="335"/>
      <c r="Q180" s="336"/>
      <c r="R180" s="337"/>
      <c r="T180" s="327"/>
    </row>
    <row r="181" customFormat="false" ht="12.8" hidden="false" customHeight="false" outlineLevel="0" collapsed="false">
      <c r="B181" s="270" t="n">
        <v>42422</v>
      </c>
      <c r="C181" s="348" t="n">
        <f aca="false">YEAR('LT records'!$B181)</f>
        <v>2016</v>
      </c>
      <c r="D181" s="346" t="str">
        <f aca="false">'LT records'!$C181&amp;"-"&amp;MONTH('LT records'!$B181)</f>
        <v>2016-2</v>
      </c>
      <c r="E181" s="324" t="s">
        <v>344</v>
      </c>
      <c r="F181" s="324" t="str">
        <f aca="false">LEFT('LT records'!$E181,3)</f>
        <v>MyF</v>
      </c>
      <c r="G181" s="324" t="str">
        <f aca="false">IF(OR('LT records'!$F181="MyF", 'LT records'!$F181="DEP"),"DEP",IF('LT records'!$F181="CSH","CSH",IF('LT records'!$F181="BON","BND",IF('LT records'!$F181="Sma","MKT",IF(OR('LT records'!$F181="Val", 'LT records'!$F181="EUR"),"FCY",IF('LT records'!$F181="X-P","PP3",IF('LT records'!$F181="X-m","XAU","???")))))))</f>
        <v>DEP</v>
      </c>
      <c r="H181" s="325" t="n">
        <v>0</v>
      </c>
      <c r="I181" s="340" t="n">
        <f aca="false">45.13-7.22</f>
        <v>37.91</v>
      </c>
      <c r="J181" s="325"/>
      <c r="K181" s="340"/>
      <c r="L181" s="341" t="s">
        <v>40</v>
      </c>
      <c r="M181" s="342" t="str">
        <f aca="false">YEAR('LT records'!$B181)&amp;"-"&amp;MONTH('LT records'!$B181)</f>
        <v>2016-2</v>
      </c>
      <c r="N181" s="343" t="n">
        <f aca="false">'LT records'!$H181+'LT records'!$I181</f>
        <v>37.91</v>
      </c>
      <c r="O181" s="335"/>
      <c r="P181" s="335"/>
      <c r="Q181" s="336"/>
      <c r="R181" s="337"/>
      <c r="T181" s="327"/>
    </row>
    <row r="182" customFormat="false" ht="12.8" hidden="false" customHeight="false" outlineLevel="0" collapsed="false">
      <c r="B182" s="270" t="n">
        <v>42429</v>
      </c>
      <c r="C182" s="348" t="n">
        <f aca="false">YEAR('LT records'!$B182)</f>
        <v>2016</v>
      </c>
      <c r="D182" s="346" t="str">
        <f aca="false">'LT records'!$C182&amp;"-"&amp;MONTH('LT records'!$B182)</f>
        <v>2016-2</v>
      </c>
      <c r="E182" s="324" t="s">
        <v>337</v>
      </c>
      <c r="F182" s="324" t="str">
        <f aca="false">LEFT('LT records'!$E182,3)</f>
        <v>MyF</v>
      </c>
      <c r="G182" s="324" t="str">
        <f aca="false">IF(OR('LT records'!$F182="MyF", 'LT records'!$F182="DEP"),"DEP",IF('LT records'!$F182="CSH","CSH",IF('LT records'!$F182="BON","BND",IF('LT records'!$F182="Sma","MKT",IF(OR('LT records'!$F182="Val", 'LT records'!$F182="EUR"),"FCY",IF('LT records'!$F182="X-P","PP3",IF('LT records'!$F182="X-m","XAU","???")))))))</f>
        <v>DEP</v>
      </c>
      <c r="H182" s="325" t="n">
        <v>0</v>
      </c>
      <c r="I182" s="340" t="n">
        <v>35.67</v>
      </c>
      <c r="J182" s="325"/>
      <c r="K182" s="340"/>
      <c r="L182" s="341" t="s">
        <v>40</v>
      </c>
      <c r="M182" s="342" t="str">
        <f aca="false">YEAR('LT records'!$B182)&amp;"-"&amp;MONTH('LT records'!$B182)</f>
        <v>2016-2</v>
      </c>
      <c r="N182" s="343" t="n">
        <f aca="false">'LT records'!$H182+'LT records'!$I182</f>
        <v>35.67</v>
      </c>
      <c r="O182" s="335"/>
      <c r="P182" s="335"/>
      <c r="Q182" s="336"/>
      <c r="R182" s="337"/>
      <c r="T182" s="327"/>
    </row>
    <row r="183" customFormat="false" ht="12.8" hidden="false" customHeight="false" outlineLevel="0" collapsed="false">
      <c r="B183" s="270" t="n">
        <v>42429</v>
      </c>
      <c r="C183" s="348" t="n">
        <f aca="false">YEAR('LT records'!$B183)</f>
        <v>2016</v>
      </c>
      <c r="D183" s="346" t="str">
        <f aca="false">'LT records'!$C183&amp;"-"&amp;MONTH('LT records'!$B183)</f>
        <v>2016-2</v>
      </c>
      <c r="E183" s="324" t="s">
        <v>363</v>
      </c>
      <c r="F183" s="324" t="str">
        <f aca="false">LEFT('LT records'!$E183,3)</f>
        <v>MyF</v>
      </c>
      <c r="G183" s="324" t="str">
        <f aca="false">IF(OR('LT records'!$F183="MyF", 'LT records'!$F183="DEP"),"DEP",IF('LT records'!$F183="CSH","CSH",IF('LT records'!$F183="BON","BND",IF('LT records'!$F183="Sma","MKT",IF(OR('LT records'!$F183="Val", 'LT records'!$F183="EUR"),"FCY",IF('LT records'!$F183="X-P","PP3",IF('LT records'!$F183="X-m","XAU","???")))))))</f>
        <v>DEP</v>
      </c>
      <c r="H183" s="325" t="n">
        <v>-2.49</v>
      </c>
      <c r="I183" s="340" t="n">
        <v>2.49</v>
      </c>
      <c r="J183" s="325"/>
      <c r="K183" s="340"/>
      <c r="L183" s="341" t="s">
        <v>40</v>
      </c>
      <c r="M183" s="342" t="str">
        <f aca="false">YEAR('LT records'!$B183)&amp;"-"&amp;MONTH('LT records'!$B183)</f>
        <v>2016-2</v>
      </c>
      <c r="N183" s="343" t="n">
        <f aca="false">'LT records'!$H183+'LT records'!$I183</f>
        <v>0</v>
      </c>
      <c r="O183" s="335"/>
      <c r="P183" s="335"/>
      <c r="Q183" s="336"/>
      <c r="R183" s="337"/>
      <c r="T183" s="327"/>
    </row>
    <row r="184" customFormat="false" ht="12.8" hidden="false" customHeight="false" outlineLevel="0" collapsed="false">
      <c r="B184" s="270" t="n">
        <v>42447</v>
      </c>
      <c r="C184" s="348" t="n">
        <f aca="false">YEAR('LT records'!$B184)</f>
        <v>2016</v>
      </c>
      <c r="D184" s="346" t="str">
        <f aca="false">'LT records'!$C184&amp;"-"&amp;MONTH('LT records'!$B184)</f>
        <v>2016-3</v>
      </c>
      <c r="E184" s="324" t="s">
        <v>360</v>
      </c>
      <c r="F184" s="324" t="str">
        <f aca="false">LEFT('LT records'!$E184,3)</f>
        <v>MyF</v>
      </c>
      <c r="G184" s="324" t="str">
        <f aca="false">IF(OR('LT records'!$F184="MyF", 'LT records'!$F184="DEP"),"DEP",IF('LT records'!$F184="CSH","CSH",IF('LT records'!$F184="BON","BND",IF('LT records'!$F184="Sma","MKT",IF(OR('LT records'!$F184="Val", 'LT records'!$F184="EUR"),"FCY",IF('LT records'!$F184="X-P","PP3",IF('LT records'!$F184="X-m","XAU","???")))))))</f>
        <v>DEP</v>
      </c>
      <c r="H184" s="325" t="n">
        <v>-2.26</v>
      </c>
      <c r="I184" s="340" t="n">
        <v>2.26</v>
      </c>
      <c r="J184" s="325"/>
      <c r="K184" s="340"/>
      <c r="L184" s="341" t="s">
        <v>369</v>
      </c>
      <c r="M184" s="342" t="str">
        <f aca="false">YEAR('LT records'!$B184)&amp;"-"&amp;MONTH('LT records'!$B184)</f>
        <v>2016-3</v>
      </c>
      <c r="N184" s="343" t="n">
        <f aca="false">'LT records'!$H184+'LT records'!$I184</f>
        <v>0</v>
      </c>
      <c r="O184" s="335"/>
      <c r="P184" s="335"/>
      <c r="Q184" s="336"/>
      <c r="R184" s="337"/>
      <c r="T184" s="327"/>
    </row>
    <row r="185" customFormat="false" ht="12.8" hidden="false" customHeight="false" outlineLevel="0" collapsed="false">
      <c r="B185" s="270" t="n">
        <v>42447</v>
      </c>
      <c r="C185" s="348" t="n">
        <f aca="false">YEAR('LT records'!$B185)</f>
        <v>2016</v>
      </c>
      <c r="D185" s="346" t="str">
        <f aca="false">'LT records'!$C185&amp;"-"&amp;MONTH('LT records'!$B185)</f>
        <v>2016-3</v>
      </c>
      <c r="E185" s="324" t="s">
        <v>367</v>
      </c>
      <c r="F185" s="324" t="str">
        <f aca="false">LEFT('LT records'!$E185,3)</f>
        <v>MyF</v>
      </c>
      <c r="G185" s="324" t="str">
        <f aca="false">IF(OR('LT records'!$F185="MyF", 'LT records'!$F185="DEP"),"DEP",IF('LT records'!$F185="CSH","CSH",IF('LT records'!$F185="BON","BND",IF('LT records'!$F185="Sma","MKT",IF(OR('LT records'!$F185="Val", 'LT records'!$F185="EUR"),"FCY",IF('LT records'!$F185="X-P","PP3",IF('LT records'!$F185="X-m","XAU","???")))))))</f>
        <v>DEP</v>
      </c>
      <c r="H185" s="325" t="n">
        <v>999.15</v>
      </c>
      <c r="I185" s="340" t="n">
        <v>0.85</v>
      </c>
      <c r="J185" s="325"/>
      <c r="K185" s="340"/>
      <c r="L185" s="341" t="s">
        <v>370</v>
      </c>
      <c r="M185" s="342" t="str">
        <f aca="false">YEAR('LT records'!$B185)&amp;"-"&amp;MONTH('LT records'!$B185)</f>
        <v>2016-3</v>
      </c>
      <c r="N185" s="343" t="n">
        <f aca="false">'LT records'!$H185+'LT records'!$I185</f>
        <v>1000</v>
      </c>
      <c r="O185" s="335"/>
      <c r="P185" s="335"/>
      <c r="Q185" s="336"/>
      <c r="R185" s="337"/>
      <c r="T185" s="327"/>
    </row>
    <row r="186" customFormat="false" ht="12.8" hidden="false" customHeight="false" outlineLevel="0" collapsed="false">
      <c r="B186" s="270" t="n">
        <v>42453</v>
      </c>
      <c r="C186" s="348" t="n">
        <f aca="false">YEAR('LT records'!$B186)</f>
        <v>2016</v>
      </c>
      <c r="D186" s="346" t="str">
        <f aca="false">'LT records'!$C186&amp;"-"&amp;MONTH('LT records'!$B186)</f>
        <v>2016-3</v>
      </c>
      <c r="E186" s="324" t="s">
        <v>350</v>
      </c>
      <c r="F186" s="324" t="str">
        <f aca="false">LEFT('LT records'!$E186,3)</f>
        <v>MyF</v>
      </c>
      <c r="G186" s="324" t="str">
        <f aca="false">IF(OR('LT records'!$F186="MyF", 'LT records'!$F186="DEP"),"DEP",IF('LT records'!$F186="CSH","CSH",IF('LT records'!$F186="BON","BND",IF('LT records'!$F186="Sma","MKT",IF(OR('LT records'!$F186="Val", 'LT records'!$F186="EUR"),"FCY",IF('LT records'!$F186="X-P","PP3",IF('LT records'!$F186="X-m","XAU","???")))))))</f>
        <v>DEP</v>
      </c>
      <c r="H186" s="325" t="n">
        <v>0</v>
      </c>
      <c r="I186" s="340" t="n">
        <v>34.01</v>
      </c>
      <c r="J186" s="325"/>
      <c r="K186" s="340"/>
      <c r="L186" s="341" t="s">
        <v>40</v>
      </c>
      <c r="M186" s="342" t="str">
        <f aca="false">YEAR('LT records'!$B186)&amp;"-"&amp;MONTH('LT records'!$B186)</f>
        <v>2016-3</v>
      </c>
      <c r="N186" s="343" t="n">
        <f aca="false">'LT records'!$H186+'LT records'!$I186</f>
        <v>34.01</v>
      </c>
      <c r="O186" s="347"/>
      <c r="P186" s="347"/>
      <c r="Q186" s="336"/>
      <c r="R186" s="337"/>
      <c r="T186" s="327"/>
    </row>
    <row r="187" customFormat="false" ht="12.8" hidden="false" customHeight="false" outlineLevel="0" collapsed="false">
      <c r="B187" s="270" t="n">
        <v>42460</v>
      </c>
      <c r="C187" s="348" t="n">
        <f aca="false">YEAR('LT records'!$B187)</f>
        <v>2016</v>
      </c>
      <c r="D187" s="346" t="str">
        <f aca="false">'LT records'!$C187&amp;"-"&amp;MONTH('LT records'!$B187)</f>
        <v>2016-3</v>
      </c>
      <c r="E187" s="324" t="s">
        <v>363</v>
      </c>
      <c r="F187" s="324" t="str">
        <f aca="false">LEFT('LT records'!$E187,3)</f>
        <v>MyF</v>
      </c>
      <c r="G187" s="324" t="str">
        <f aca="false">IF(OR('LT records'!$F187="MyF", 'LT records'!$F187="DEP"),"DEP",IF('LT records'!$F187="CSH","CSH",IF('LT records'!$F187="BON","BND",IF('LT records'!$F187="Sma","MKT",IF(OR('LT records'!$F187="Val", 'LT records'!$F187="EUR"),"FCY",IF('LT records'!$F187="X-P","PP3",IF('LT records'!$F187="X-m","XAU","???")))))))</f>
        <v>DEP</v>
      </c>
      <c r="H187" s="325" t="n">
        <v>-2.42</v>
      </c>
      <c r="I187" s="340" t="n">
        <v>2.42</v>
      </c>
      <c r="J187" s="325"/>
      <c r="K187" s="340"/>
      <c r="L187" s="341" t="s">
        <v>40</v>
      </c>
      <c r="M187" s="342" t="str">
        <f aca="false">YEAR('LT records'!$B187)&amp;"-"&amp;MONTH('LT records'!$B187)</f>
        <v>2016-3</v>
      </c>
      <c r="N187" s="343" t="n">
        <f aca="false">'LT records'!$H187+'LT records'!$I187</f>
        <v>0</v>
      </c>
      <c r="O187" s="347"/>
      <c r="P187" s="347"/>
      <c r="Q187" s="336"/>
      <c r="R187" s="337"/>
      <c r="T187" s="327"/>
    </row>
    <row r="188" customFormat="false" ht="12.8" hidden="false" customHeight="false" outlineLevel="0" collapsed="false">
      <c r="B188" s="270" t="n">
        <v>42460</v>
      </c>
      <c r="C188" s="348" t="n">
        <f aca="false">YEAR('LT records'!$B188)</f>
        <v>2016</v>
      </c>
      <c r="D188" s="346" t="str">
        <f aca="false">'LT records'!$C188&amp;"-"&amp;MONTH('LT records'!$B188)</f>
        <v>2016-3</v>
      </c>
      <c r="E188" s="324" t="s">
        <v>340</v>
      </c>
      <c r="F188" s="324" t="str">
        <f aca="false">LEFT('LT records'!$E188,3)</f>
        <v>MyF</v>
      </c>
      <c r="G188" s="324" t="str">
        <f aca="false">IF(OR('LT records'!$F188="MyF", 'LT records'!$F188="DEP"),"DEP",IF('LT records'!$F188="CSH","CSH",IF('LT records'!$F188="BON","BND",IF('LT records'!$F188="Sma","MKT",IF(OR('LT records'!$F188="Val", 'LT records'!$F188="EUR"),"FCY",IF('LT records'!$F188="X-P","PP3",IF('LT records'!$F188="X-m","XAU","???")))))))</f>
        <v>DEP</v>
      </c>
      <c r="H188" s="325" t="n">
        <v>-10033.42</v>
      </c>
      <c r="I188" s="340" t="n">
        <v>33.42</v>
      </c>
      <c r="J188" s="325"/>
      <c r="K188" s="340"/>
      <c r="L188" s="341" t="s">
        <v>371</v>
      </c>
      <c r="M188" s="342" t="str">
        <f aca="false">YEAR('LT records'!$B188)&amp;"-"&amp;MONTH('LT records'!$B188)</f>
        <v>2016-3</v>
      </c>
      <c r="N188" s="343" t="n">
        <f aca="false">'LT records'!$H188+'LT records'!$I188</f>
        <v>-10000</v>
      </c>
      <c r="O188" s="347"/>
      <c r="P188" s="347"/>
      <c r="Q188" s="336"/>
      <c r="R188" s="337"/>
      <c r="T188" s="327"/>
    </row>
    <row r="189" customFormat="false" ht="12.8" hidden="false" customHeight="false" outlineLevel="0" collapsed="false">
      <c r="B189" s="270" t="n">
        <v>42460</v>
      </c>
      <c r="C189" s="348" t="n">
        <f aca="false">YEAR('LT records'!$B189)</f>
        <v>2016</v>
      </c>
      <c r="D189" s="346" t="str">
        <f aca="false">'LT records'!$C189&amp;"-"&amp;MONTH('LT records'!$B189)</f>
        <v>2016-3</v>
      </c>
      <c r="E189" s="324" t="s">
        <v>372</v>
      </c>
      <c r="F189" s="324" t="str">
        <f aca="false">LEFT('LT records'!$E189,3)</f>
        <v>BCR</v>
      </c>
      <c r="G189" s="324" t="s">
        <v>373</v>
      </c>
      <c r="H189" s="325" t="n">
        <v>10000</v>
      </c>
      <c r="I189" s="340"/>
      <c r="J189" s="325"/>
      <c r="K189" s="340"/>
      <c r="L189" s="341" t="s">
        <v>374</v>
      </c>
      <c r="M189" s="342" t="str">
        <f aca="false">YEAR('LT records'!$B189)&amp;"-"&amp;MONTH('LT records'!$B189)</f>
        <v>2016-3</v>
      </c>
      <c r="N189" s="343" t="n">
        <f aca="false">'LT records'!$H189+'LT records'!$I189</f>
        <v>10000</v>
      </c>
      <c r="O189" s="347"/>
      <c r="P189" s="347"/>
      <c r="Q189" s="336"/>
      <c r="R189" s="337"/>
      <c r="T189" s="327"/>
    </row>
    <row r="190" customFormat="false" ht="12.8" hidden="false" customHeight="false" outlineLevel="0" collapsed="false">
      <c r="B190" s="270" t="n">
        <v>42478</v>
      </c>
      <c r="C190" s="348" t="n">
        <f aca="false">YEAR('LT records'!$B190)</f>
        <v>2016</v>
      </c>
      <c r="D190" s="346" t="str">
        <f aca="false">'LT records'!$C190&amp;"-"&amp;MONTH('LT records'!$B190)</f>
        <v>2016-4</v>
      </c>
      <c r="E190" s="324" t="s">
        <v>360</v>
      </c>
      <c r="F190" s="324" t="str">
        <f aca="false">LEFT('LT records'!$E190,3)</f>
        <v>MyF</v>
      </c>
      <c r="G190" s="324" t="str">
        <f aca="false">IF(OR('LT records'!$F190="MyF", 'LT records'!$F190="DEP"),"DEP",IF('LT records'!$F190="CSH","CSH",IF('LT records'!$F190="BON","BND",IF('LT records'!$F190="Sma","MKT",IF(OR('LT records'!$F190="Val", 'LT records'!$F190="EUR"),"FCY",IF('LT records'!$F190="X-P","PP3",IF('LT records'!$F190="X-m","XAU","???")))))))</f>
        <v>DEP</v>
      </c>
      <c r="H190" s="325" t="n">
        <v>1998.01</v>
      </c>
      <c r="I190" s="340" t="n">
        <v>1.99</v>
      </c>
      <c r="J190" s="325"/>
      <c r="K190" s="340"/>
      <c r="L190" s="341" t="s">
        <v>375</v>
      </c>
      <c r="M190" s="342" t="str">
        <f aca="false">YEAR('LT records'!$B190)&amp;"-"&amp;MONTH('LT records'!$B190)</f>
        <v>2016-4</v>
      </c>
      <c r="N190" s="343" t="n">
        <f aca="false">'LT records'!$H190+'LT records'!$I190</f>
        <v>2000</v>
      </c>
      <c r="O190" s="335"/>
      <c r="P190" s="335"/>
      <c r="Q190" s="336"/>
      <c r="R190" s="337"/>
      <c r="T190" s="327"/>
    </row>
    <row r="191" customFormat="false" ht="12.8" hidden="false" customHeight="false" outlineLevel="0" collapsed="false">
      <c r="B191" s="270" t="n">
        <v>42478</v>
      </c>
      <c r="C191" s="348" t="n">
        <f aca="false">YEAR('LT records'!$B191)</f>
        <v>2016</v>
      </c>
      <c r="D191" s="346" t="str">
        <f aca="false">'LT records'!$C191&amp;"-"&amp;MONTH('LT records'!$B191)</f>
        <v>2016-4</v>
      </c>
      <c r="E191" s="324" t="s">
        <v>367</v>
      </c>
      <c r="F191" s="324" t="str">
        <f aca="false">LEFT('LT records'!$E191,3)</f>
        <v>MyF</v>
      </c>
      <c r="G191" s="324" t="str">
        <f aca="false">IF(OR('LT records'!$F191="MyF", 'LT records'!$F191="DEP"),"DEP",IF('LT records'!$F191="CSH","CSH",IF('LT records'!$F191="BON","BND",IF('LT records'!$F191="Sma","MKT",IF(OR('LT records'!$F191="Val", 'LT records'!$F191="EUR"),"FCY",IF('LT records'!$F191="X-P","PP3",IF('LT records'!$F191="X-m","XAU","???")))))))</f>
        <v>DEP</v>
      </c>
      <c r="H191" s="325" t="n">
        <v>-1.24</v>
      </c>
      <c r="I191" s="340" t="n">
        <v>1.24</v>
      </c>
      <c r="J191" s="325"/>
      <c r="K191" s="340"/>
      <c r="L191" s="341" t="s">
        <v>40</v>
      </c>
      <c r="M191" s="342" t="str">
        <f aca="false">YEAR('LT records'!$B191)&amp;"-"&amp;MONTH('LT records'!$B191)</f>
        <v>2016-4</v>
      </c>
      <c r="N191" s="343" t="n">
        <f aca="false">'LT records'!$H191+'LT records'!$I191</f>
        <v>0</v>
      </c>
      <c r="O191" s="335"/>
      <c r="P191" s="335"/>
      <c r="Q191" s="336"/>
      <c r="R191" s="337"/>
      <c r="T191" s="327"/>
    </row>
    <row r="192" customFormat="false" ht="12.8" hidden="false" customHeight="false" outlineLevel="0" collapsed="false">
      <c r="B192" s="270" t="n">
        <v>42487</v>
      </c>
      <c r="C192" s="348" t="n">
        <f aca="false">YEAR('LT records'!$B192)</f>
        <v>2016</v>
      </c>
      <c r="D192" s="346" t="str">
        <f aca="false">'LT records'!$C192&amp;"-"&amp;MONTH('LT records'!$B192)</f>
        <v>2016-4</v>
      </c>
      <c r="E192" s="324" t="s">
        <v>355</v>
      </c>
      <c r="F192" s="324" t="str">
        <f aca="false">LEFT('LT records'!$E192,3)</f>
        <v>MyF</v>
      </c>
      <c r="G192" s="324" t="str">
        <f aca="false">IF(OR('LT records'!$F192="MyF", 'LT records'!$F192="DEP"),"DEP",IF('LT records'!$F192="CSH","CSH",IF('LT records'!$F192="BON","BND",IF('LT records'!$F192="Sma","MKT",IF(OR('LT records'!$F192="Val", 'LT records'!$F192="EUR"),"FCY",IF('LT records'!$F192="X-P","PP3",IF('LT records'!$F192="X-m","XAU","???")))))))</f>
        <v>DEP</v>
      </c>
      <c r="H192" s="325" t="n">
        <v>0</v>
      </c>
      <c r="I192" s="340" t="n">
        <v>26.42</v>
      </c>
      <c r="J192" s="325"/>
      <c r="K192" s="340"/>
      <c r="L192" s="341" t="s">
        <v>376</v>
      </c>
      <c r="M192" s="342" t="str">
        <f aca="false">YEAR('LT records'!$B192)&amp;"-"&amp;MONTH('LT records'!$B192)</f>
        <v>2016-4</v>
      </c>
      <c r="N192" s="343" t="n">
        <f aca="false">'LT records'!$H192+'LT records'!$I192</f>
        <v>26.42</v>
      </c>
      <c r="O192" s="335"/>
      <c r="P192" s="335"/>
      <c r="Q192" s="336"/>
      <c r="R192" s="337"/>
      <c r="T192" s="327"/>
    </row>
    <row r="193" customFormat="false" ht="12.8" hidden="false" customHeight="false" outlineLevel="0" collapsed="false">
      <c r="B193" s="270" t="n">
        <v>42489</v>
      </c>
      <c r="C193" s="348" t="n">
        <f aca="false">YEAR('LT records'!$B193)</f>
        <v>2016</v>
      </c>
      <c r="D193" s="346" t="str">
        <f aca="false">'LT records'!$C193&amp;"-"&amp;MONTH('LT records'!$B193)</f>
        <v>2016-4</v>
      </c>
      <c r="E193" s="324" t="s">
        <v>363</v>
      </c>
      <c r="F193" s="324" t="str">
        <f aca="false">LEFT('LT records'!$E193,3)</f>
        <v>MyF</v>
      </c>
      <c r="G193" s="324" t="str">
        <f aca="false">IF(OR('LT records'!$F193="MyF", 'LT records'!$F193="DEP"),"DEP",IF('LT records'!$F193="CSH","CSH",IF('LT records'!$F193="BON","BND",IF('LT records'!$F193="Sma","MKT",IF(OR('LT records'!$F193="Val", 'LT records'!$F193="EUR"),"FCY",IF('LT records'!$F193="X-P","PP3",IF('LT records'!$F193="X-m","XAU","???")))))))</f>
        <v>DEP</v>
      </c>
      <c r="H193" s="325" t="n">
        <v>-1.86</v>
      </c>
      <c r="I193" s="340" t="n">
        <v>1.86</v>
      </c>
      <c r="J193" s="325"/>
      <c r="K193" s="340"/>
      <c r="L193" s="341" t="s">
        <v>377</v>
      </c>
      <c r="M193" s="342" t="str">
        <f aca="false">YEAR('LT records'!$B193)&amp;"-"&amp;MONTH('LT records'!$B193)</f>
        <v>2016-4</v>
      </c>
      <c r="N193" s="343" t="n">
        <f aca="false">'LT records'!$H193+'LT records'!$I193</f>
        <v>0</v>
      </c>
      <c r="O193" s="335"/>
      <c r="P193" s="335"/>
      <c r="Q193" s="336"/>
      <c r="R193" s="337"/>
      <c r="T193" s="327"/>
    </row>
    <row r="194" customFormat="false" ht="12.8" hidden="false" customHeight="false" outlineLevel="0" collapsed="false">
      <c r="B194" s="270" t="n">
        <v>42508</v>
      </c>
      <c r="C194" s="348" t="n">
        <f aca="false">YEAR('LT records'!$B194)</f>
        <v>2016</v>
      </c>
      <c r="D194" s="346" t="str">
        <f aca="false">'LT records'!$C194&amp;"-"&amp;MONTH('LT records'!$B194)</f>
        <v>2016-5</v>
      </c>
      <c r="E194" s="324" t="s">
        <v>360</v>
      </c>
      <c r="F194" s="324" t="str">
        <f aca="false">LEFT('LT records'!$E194,3)</f>
        <v>MyF</v>
      </c>
      <c r="G194" s="324" t="str">
        <f aca="false">IF(OR('LT records'!$F194="MyF", 'LT records'!$F194="DEP"),"DEP",IF('LT records'!$F194="CSH","CSH",IF('LT records'!$F194="BON","BND",IF('LT records'!$F194="Sma","MKT",IF(OR('LT records'!$F194="Val", 'LT records'!$F194="EUR"),"FCY",IF('LT records'!$F194="X-P","PP3",IF('LT records'!$F194="X-m","XAU","???")))))))</f>
        <v>DEP</v>
      </c>
      <c r="H194" s="325" t="n">
        <v>1997.11</v>
      </c>
      <c r="I194" s="340" t="n">
        <v>2.89</v>
      </c>
      <c r="J194" s="325"/>
      <c r="K194" s="340"/>
      <c r="L194" s="341" t="s">
        <v>375</v>
      </c>
      <c r="M194" s="342" t="str">
        <f aca="false">YEAR('LT records'!$B194)&amp;"-"&amp;MONTH('LT records'!$B194)</f>
        <v>2016-5</v>
      </c>
      <c r="N194" s="343" t="n">
        <f aca="false">'LT records'!$H194+'LT records'!$I194</f>
        <v>2000</v>
      </c>
      <c r="O194" s="335"/>
      <c r="P194" s="335"/>
      <c r="Q194" s="336"/>
      <c r="R194" s="337"/>
      <c r="T194" s="327"/>
    </row>
    <row r="195" customFormat="false" ht="12.8" hidden="false" customHeight="false" outlineLevel="0" collapsed="false">
      <c r="B195" s="270" t="n">
        <v>42508</v>
      </c>
      <c r="C195" s="348" t="n">
        <f aca="false">YEAR('LT records'!$B195)</f>
        <v>2016</v>
      </c>
      <c r="D195" s="346" t="str">
        <f aca="false">'LT records'!$C195&amp;"-"&amp;MONTH('LT records'!$B195)</f>
        <v>2016-5</v>
      </c>
      <c r="E195" s="324" t="s">
        <v>367</v>
      </c>
      <c r="F195" s="324" t="str">
        <f aca="false">LEFT('LT records'!$E195,3)</f>
        <v>MyF</v>
      </c>
      <c r="G195" s="324" t="str">
        <f aca="false">IF(OR('LT records'!$F195="MyF", 'LT records'!$F195="DEP"),"DEP",IF('LT records'!$F195="CSH","CSH",IF('LT records'!$F195="BON","BND",IF('LT records'!$F195="Sma","MKT",IF(OR('LT records'!$F195="Val", 'LT records'!$F195="EUR"),"FCY",IF('LT records'!$F195="X-P","PP3",IF('LT records'!$F195="X-m","XAU","???")))))))</f>
        <v>DEP</v>
      </c>
      <c r="H195" s="325" t="n">
        <v>-1.2</v>
      </c>
      <c r="I195" s="340" t="n">
        <v>1.2</v>
      </c>
      <c r="J195" s="325"/>
      <c r="K195" s="340"/>
      <c r="L195" s="341" t="s">
        <v>377</v>
      </c>
      <c r="M195" s="342" t="str">
        <f aca="false">YEAR('LT records'!$B195)&amp;"-"&amp;MONTH('LT records'!$B195)</f>
        <v>2016-5</v>
      </c>
      <c r="N195" s="343" t="n">
        <f aca="false">'LT records'!$H195+'LT records'!$I195</f>
        <v>0</v>
      </c>
      <c r="O195" s="335"/>
      <c r="P195" s="335"/>
      <c r="Q195" s="336"/>
      <c r="R195" s="337"/>
      <c r="T195" s="327"/>
    </row>
    <row r="196" customFormat="false" ht="12.8" hidden="false" customHeight="false" outlineLevel="0" collapsed="false">
      <c r="B196" s="270" t="n">
        <v>42513</v>
      </c>
      <c r="C196" s="348" t="n">
        <f aca="false">YEAR('LT records'!$B196)</f>
        <v>2016</v>
      </c>
      <c r="D196" s="346" t="str">
        <f aca="false">'LT records'!$C196&amp;"-"&amp;MONTH('LT records'!$B196)</f>
        <v>2016-5</v>
      </c>
      <c r="E196" s="324" t="s">
        <v>344</v>
      </c>
      <c r="F196" s="324" t="str">
        <f aca="false">LEFT('LT records'!$E196,3)</f>
        <v>MyF</v>
      </c>
      <c r="G196" s="324" t="str">
        <f aca="false">IF(OR('LT records'!$F196="MyF", 'LT records'!$F196="DEP"),"DEP",IF('LT records'!$F196="CSH","CSH",IF('LT records'!$F196="BON","BND",IF('LT records'!$F196="Sma","MKT",IF(OR('LT records'!$F196="Val", 'LT records'!$F196="EUR"),"FCY",IF('LT records'!$F196="X-P","PP3",IF('LT records'!$F196="X-m","XAU","???")))))))</f>
        <v>DEP</v>
      </c>
      <c r="H196" s="325" t="n">
        <v>0</v>
      </c>
      <c r="I196" s="340" t="n">
        <v>27.05</v>
      </c>
      <c r="J196" s="325"/>
      <c r="K196" s="340"/>
      <c r="L196" s="341" t="s">
        <v>378</v>
      </c>
      <c r="M196" s="342" t="str">
        <f aca="false">YEAR('LT records'!$B196)&amp;"-"&amp;MONTH('LT records'!$B196)</f>
        <v>2016-5</v>
      </c>
      <c r="N196" s="343" t="n">
        <f aca="false">'LT records'!$H196+'LT records'!$I196</f>
        <v>27.05</v>
      </c>
      <c r="O196" s="335"/>
      <c r="P196" s="335"/>
      <c r="Q196" s="336"/>
      <c r="R196" s="337"/>
      <c r="T196" s="327"/>
    </row>
    <row r="197" customFormat="false" ht="12.8" hidden="false" customHeight="false" outlineLevel="0" collapsed="false">
      <c r="B197" s="270" t="n">
        <v>42520</v>
      </c>
      <c r="C197" s="348" t="n">
        <f aca="false">YEAR('LT records'!$B197)</f>
        <v>2016</v>
      </c>
      <c r="D197" s="346" t="str">
        <f aca="false">'LT records'!$C197&amp;"-"&amp;MONTH('LT records'!$B197)</f>
        <v>2016-5</v>
      </c>
      <c r="E197" s="324" t="s">
        <v>363</v>
      </c>
      <c r="F197" s="324" t="str">
        <f aca="false">LEFT('LT records'!$E197,3)</f>
        <v>MyF</v>
      </c>
      <c r="G197" s="324" t="str">
        <f aca="false">IF(OR('LT records'!$F197="MyF", 'LT records'!$F197="DEP"),"DEP",IF('LT records'!$F197="CSH","CSH",IF('LT records'!$F197="BON","BND",IF('LT records'!$F197="Sma","MKT",IF(OR('LT records'!$F197="Val", 'LT records'!$F197="EUR"),"FCY",IF('LT records'!$F197="X-P","PP3",IF('LT records'!$F197="X-m","XAU","???")))))))</f>
        <v>DEP</v>
      </c>
      <c r="H197" s="325" t="n">
        <v>-1.99</v>
      </c>
      <c r="I197" s="340" t="n">
        <v>1.99</v>
      </c>
      <c r="J197" s="325"/>
      <c r="K197" s="340"/>
      <c r="L197" s="341" t="s">
        <v>379</v>
      </c>
      <c r="M197" s="342" t="str">
        <f aca="false">YEAR('LT records'!$B197)&amp;"-"&amp;MONTH('LT records'!$B197)</f>
        <v>2016-5</v>
      </c>
      <c r="N197" s="343" t="n">
        <f aca="false">'LT records'!$H197+'LT records'!$I197</f>
        <v>0</v>
      </c>
      <c r="O197" s="347"/>
      <c r="P197" s="347"/>
      <c r="Q197" s="336"/>
      <c r="R197" s="337"/>
      <c r="T197" s="327"/>
    </row>
    <row r="198" customFormat="false" ht="12.8" hidden="false" customHeight="false" outlineLevel="0" collapsed="false">
      <c r="B198" s="270" t="n">
        <v>42521</v>
      </c>
      <c r="C198" s="348" t="n">
        <f aca="false">YEAR('LT records'!$B198)</f>
        <v>2016</v>
      </c>
      <c r="D198" s="346" t="str">
        <f aca="false">'LT records'!$C198&amp;"-"&amp;MONTH('LT records'!$B198)</f>
        <v>2016-5</v>
      </c>
      <c r="E198" s="324" t="s">
        <v>337</v>
      </c>
      <c r="F198" s="324" t="str">
        <f aca="false">LEFT('LT records'!$E198,3)</f>
        <v>MyF</v>
      </c>
      <c r="G198" s="324" t="str">
        <f aca="false">IF(OR('LT records'!$F198="MyF", 'LT records'!$F198="DEP"),"DEP",IF('LT records'!$F198="CSH","CSH",IF('LT records'!$F198="BON","BND",IF('LT records'!$F198="Sma","MKT",IF(OR('LT records'!$F198="Val", 'LT records'!$F198="EUR"),"FCY",IF('LT records'!$F198="X-P","PP3",IF('LT records'!$F198="X-m","XAU","???")))))))</f>
        <v>DEP</v>
      </c>
      <c r="H198" s="325" t="n">
        <v>0</v>
      </c>
      <c r="I198" s="340" t="n">
        <v>27.23</v>
      </c>
      <c r="J198" s="325"/>
      <c r="K198" s="340"/>
      <c r="L198" s="341" t="s">
        <v>378</v>
      </c>
      <c r="M198" s="342" t="str">
        <f aca="false">YEAR('LT records'!$B198)&amp;"-"&amp;MONTH('LT records'!$B198)</f>
        <v>2016-5</v>
      </c>
      <c r="N198" s="343" t="n">
        <f aca="false">'LT records'!$H198+'LT records'!$I198</f>
        <v>27.23</v>
      </c>
      <c r="O198" s="335"/>
      <c r="P198" s="335"/>
      <c r="Q198" s="336"/>
      <c r="R198" s="337"/>
      <c r="T198" s="327"/>
    </row>
    <row r="199" customFormat="false" ht="12.8" hidden="false" customHeight="false" outlineLevel="0" collapsed="false">
      <c r="B199" s="270" t="n">
        <v>42542</v>
      </c>
      <c r="C199" s="348" t="n">
        <f aca="false">YEAR('LT records'!$B199)</f>
        <v>2016</v>
      </c>
      <c r="D199" s="346" t="str">
        <f aca="false">'LT records'!$C199&amp;"-"&amp;MONTH('LT records'!$B199)</f>
        <v>2016-6</v>
      </c>
      <c r="E199" s="324" t="s">
        <v>360</v>
      </c>
      <c r="F199" s="324" t="str">
        <f aca="false">LEFT('LT records'!$E199,3)</f>
        <v>MyF</v>
      </c>
      <c r="G199" s="324" t="str">
        <f aca="false">IF(OR('LT records'!$F199="MyF", 'LT records'!$F199="DEP"),"DEP",IF('LT records'!$F199="CSH","CSH",IF('LT records'!$F199="BON","BND",IF('LT records'!$F199="Sma","MKT",IF(OR('LT records'!$F199="Val", 'LT records'!$F199="EUR"),"FCY",IF('LT records'!$F199="X-P","PP3",IF('LT records'!$F199="X-m","XAU","???")))))))</f>
        <v>DEP</v>
      </c>
      <c r="H199" s="325" t="n">
        <v>1995.63</v>
      </c>
      <c r="I199" s="340" t="n">
        <v>4.37</v>
      </c>
      <c r="J199" s="325"/>
      <c r="K199" s="340"/>
      <c r="L199" s="341" t="s">
        <v>380</v>
      </c>
      <c r="M199" s="342" t="str">
        <f aca="false">YEAR('LT records'!$B199)&amp;"-"&amp;MONTH('LT records'!$B199)</f>
        <v>2016-6</v>
      </c>
      <c r="N199" s="343" t="n">
        <f aca="false">'LT records'!$H199+'LT records'!$I199</f>
        <v>2000</v>
      </c>
      <c r="O199" s="335"/>
      <c r="P199" s="335"/>
      <c r="Q199" s="336"/>
      <c r="R199" s="337"/>
      <c r="T199" s="327"/>
    </row>
    <row r="200" customFormat="false" ht="12.8" hidden="false" customHeight="false" outlineLevel="0" collapsed="false">
      <c r="B200" s="270" t="n">
        <v>42542</v>
      </c>
      <c r="C200" s="348" t="n">
        <f aca="false">YEAR('LT records'!$B200)</f>
        <v>2016</v>
      </c>
      <c r="D200" s="346" t="str">
        <f aca="false">'LT records'!$C200&amp;"-"&amp;MONTH('LT records'!$B200)</f>
        <v>2016-6</v>
      </c>
      <c r="E200" s="324" t="s">
        <v>367</v>
      </c>
      <c r="F200" s="324" t="str">
        <f aca="false">LEFT('LT records'!$E200,3)</f>
        <v>MyF</v>
      </c>
      <c r="G200" s="324" t="str">
        <f aca="false">IF(OR('LT records'!$F200="MyF", 'LT records'!$F200="DEP"),"DEP",IF('LT records'!$F200="CSH","CSH",IF('LT records'!$F200="BON","BND",IF('LT records'!$F200="Sma","MKT",IF(OR('LT records'!$F200="Val", 'LT records'!$F200="EUR"),"FCY",IF('LT records'!$F200="X-P","PP3",IF('LT records'!$F200="X-m","XAU","???")))))))</f>
        <v>DEP</v>
      </c>
      <c r="H200" s="325" t="n">
        <v>-1.37</v>
      </c>
      <c r="I200" s="340" t="n">
        <v>1.37</v>
      </c>
      <c r="J200" s="325"/>
      <c r="K200" s="340"/>
      <c r="L200" s="341" t="s">
        <v>379</v>
      </c>
      <c r="M200" s="342" t="str">
        <f aca="false">YEAR('LT records'!$B200)&amp;"-"&amp;MONTH('LT records'!$B200)</f>
        <v>2016-6</v>
      </c>
      <c r="N200" s="343" t="n">
        <f aca="false">'LT records'!$H200+'LT records'!$I200</f>
        <v>0</v>
      </c>
      <c r="O200" s="335"/>
      <c r="P200" s="335"/>
      <c r="Q200" s="336"/>
      <c r="R200" s="337"/>
      <c r="T200" s="327"/>
    </row>
    <row r="201" customFormat="false" ht="12.8" hidden="false" customHeight="false" outlineLevel="0" collapsed="false">
      <c r="B201" s="270" t="n">
        <v>42545</v>
      </c>
      <c r="C201" s="348" t="n">
        <f aca="false">YEAR('LT records'!$B201)</f>
        <v>2016</v>
      </c>
      <c r="D201" s="346" t="str">
        <f aca="false">'LT records'!$C201&amp;"-"&amp;MONTH('LT records'!$B201)</f>
        <v>2016-6</v>
      </c>
      <c r="E201" s="324" t="s">
        <v>350</v>
      </c>
      <c r="F201" s="324" t="str">
        <f aca="false">LEFT('LT records'!$E201,3)</f>
        <v>MyF</v>
      </c>
      <c r="G201" s="324" t="str">
        <f aca="false">IF(OR('LT records'!$F201="MyF", 'LT records'!$F201="DEP"),"DEP",IF('LT records'!$F201="CSH","CSH",IF('LT records'!$F201="BON","BND",IF('LT records'!$F201="Sma","MKT",IF(OR('LT records'!$F201="Val", 'LT records'!$F201="EUR"),"FCY",IF('LT records'!$F201="X-P","PP3",IF('LT records'!$F201="X-m","XAU","???")))))))</f>
        <v>DEP</v>
      </c>
      <c r="H201" s="325" t="n">
        <v>0</v>
      </c>
      <c r="I201" s="340" t="n">
        <f aca="false">28.23-4.52</f>
        <v>23.71</v>
      </c>
      <c r="J201" s="325"/>
      <c r="K201" s="340"/>
      <c r="L201" s="341" t="s">
        <v>40</v>
      </c>
      <c r="M201" s="342" t="str">
        <f aca="false">YEAR('LT records'!$B201)&amp;"-"&amp;MONTH('LT records'!$B201)</f>
        <v>2016-6</v>
      </c>
      <c r="N201" s="343" t="n">
        <f aca="false">'LT records'!$H201+'LT records'!$I201</f>
        <v>23.71</v>
      </c>
      <c r="O201" s="335"/>
      <c r="P201" s="335"/>
      <c r="Q201" s="336"/>
      <c r="R201" s="337"/>
      <c r="T201" s="327"/>
    </row>
    <row r="202" customFormat="false" ht="12.8" hidden="false" customHeight="false" outlineLevel="0" collapsed="false">
      <c r="B202" s="270" t="n">
        <v>42551</v>
      </c>
      <c r="C202" s="348" t="n">
        <f aca="false">YEAR('LT records'!$B202)</f>
        <v>2016</v>
      </c>
      <c r="D202" s="346" t="str">
        <f aca="false">'LT records'!$C202&amp;"-"&amp;MONTH('LT records'!$B202)</f>
        <v>2016-6</v>
      </c>
      <c r="E202" s="324" t="s">
        <v>363</v>
      </c>
      <c r="F202" s="324" t="str">
        <f aca="false">LEFT('LT records'!$E202,3)</f>
        <v>MyF</v>
      </c>
      <c r="G202" s="324" t="str">
        <f aca="false">IF(OR('LT records'!$F202="MyF", 'LT records'!$F202="DEP"),"DEP",IF('LT records'!$F202="CSH","CSH",IF('LT records'!$F202="BON","BND",IF('LT records'!$F202="Sma","MKT",IF(OR('LT records'!$F202="Val", 'LT records'!$F202="EUR"),"FCY",IF('LT records'!$F202="X-P","PP3",IF('LT records'!$F202="X-m","XAU","???")))))))</f>
        <v>DEP</v>
      </c>
      <c r="H202" s="325" t="n">
        <v>-1.99</v>
      </c>
      <c r="I202" s="340" t="n">
        <v>1.99</v>
      </c>
      <c r="J202" s="325"/>
      <c r="K202" s="340"/>
      <c r="L202" s="341" t="s">
        <v>369</v>
      </c>
      <c r="M202" s="342" t="str">
        <f aca="false">YEAR('LT records'!$B202)&amp;"-"&amp;MONTH('LT records'!$B202)</f>
        <v>2016-6</v>
      </c>
      <c r="N202" s="343" t="n">
        <f aca="false">'LT records'!$H202+'LT records'!$I202</f>
        <v>0</v>
      </c>
      <c r="O202" s="335"/>
      <c r="P202" s="335"/>
      <c r="Q202" s="336"/>
      <c r="R202" s="337"/>
      <c r="T202" s="327"/>
    </row>
    <row r="203" customFormat="false" ht="12.8" hidden="false" customHeight="false" outlineLevel="0" collapsed="false">
      <c r="B203" s="270" t="n">
        <v>42572</v>
      </c>
      <c r="C203" s="348" t="n">
        <f aca="false">YEAR('LT records'!$B203)</f>
        <v>2016</v>
      </c>
      <c r="D203" s="346" t="str">
        <f aca="false">'LT records'!$C203&amp;"-"&amp;MONTH('LT records'!$B203)</f>
        <v>2016-7</v>
      </c>
      <c r="E203" s="324" t="s">
        <v>367</v>
      </c>
      <c r="F203" s="324" t="str">
        <f aca="false">LEFT('LT records'!$E203,3)</f>
        <v>MyF</v>
      </c>
      <c r="G203" s="324" t="str">
        <f aca="false">IF(OR('LT records'!$F203="MyF", 'LT records'!$F203="DEP"),"DEP",IF('LT records'!$F203="CSH","CSH",IF('LT records'!$F203="BON","BND",IF('LT records'!$F203="Sma","MKT",IF(OR('LT records'!$F203="Val", 'LT records'!$F203="EUR"),"FCY",IF('LT records'!$F203="X-P","PP3",IF('LT records'!$F203="X-m","XAU","???")))))))</f>
        <v>DEP</v>
      </c>
      <c r="H203" s="325" t="n">
        <v>498.8</v>
      </c>
      <c r="I203" s="340" t="n">
        <v>1.2</v>
      </c>
      <c r="J203" s="325"/>
      <c r="K203" s="340"/>
      <c r="L203" s="341" t="s">
        <v>381</v>
      </c>
      <c r="M203" s="342" t="str">
        <f aca="false">YEAR('LT records'!$B203)&amp;"-"&amp;MONTH('LT records'!$B203)</f>
        <v>2016-7</v>
      </c>
      <c r="N203" s="343" t="n">
        <f aca="false">'LT records'!$H203+'LT records'!$I203</f>
        <v>500</v>
      </c>
      <c r="O203" s="335"/>
      <c r="P203" s="335"/>
      <c r="Q203" s="336"/>
      <c r="R203" s="337"/>
      <c r="T203" s="327"/>
    </row>
    <row r="204" customFormat="false" ht="12.8" hidden="false" customHeight="false" outlineLevel="0" collapsed="false">
      <c r="B204" s="270" t="n">
        <v>42580</v>
      </c>
      <c r="C204" s="348" t="n">
        <f aca="false">YEAR('LT records'!$B204)</f>
        <v>2016</v>
      </c>
      <c r="D204" s="346" t="str">
        <f aca="false">'LT records'!$C204&amp;"-"&amp;MONTH('LT records'!$B204)</f>
        <v>2016-7</v>
      </c>
      <c r="E204" s="324" t="s">
        <v>363</v>
      </c>
      <c r="F204" s="324" t="str">
        <f aca="false">LEFT('LT records'!$E204,3)</f>
        <v>MyF</v>
      </c>
      <c r="G204" s="324" t="str">
        <f aca="false">IF(OR('LT records'!$F204="MyF", 'LT records'!$F204="DEP"),"DEP",IF('LT records'!$F204="CSH","CSH",IF('LT records'!$F204="BON","BND",IF('LT records'!$F204="Sma","MKT",IF(OR('LT records'!$F204="Val", 'LT records'!$F204="EUR"),"FCY",IF('LT records'!$F204="X-P","PP3",IF('LT records'!$F204="X-m","XAU","???")))))))</f>
        <v>DEP</v>
      </c>
      <c r="H204" s="325" t="n">
        <v>-1.86</v>
      </c>
      <c r="I204" s="340" t="n">
        <v>1.86</v>
      </c>
      <c r="J204" s="325"/>
      <c r="K204" s="340"/>
      <c r="L204" s="341" t="s">
        <v>369</v>
      </c>
      <c r="M204" s="342" t="str">
        <f aca="false">YEAR('LT records'!$B204)&amp;"-"&amp;MONTH('LT records'!$B204)</f>
        <v>2016-7</v>
      </c>
      <c r="N204" s="343" t="n">
        <f aca="false">'LT records'!$H204+'LT records'!$I204</f>
        <v>0</v>
      </c>
      <c r="O204" s="335"/>
      <c r="P204" s="335"/>
      <c r="Q204" s="336"/>
      <c r="R204" s="337"/>
      <c r="T204" s="327"/>
    </row>
    <row r="205" customFormat="false" ht="12.8" hidden="false" customHeight="false" outlineLevel="0" collapsed="false">
      <c r="B205" s="270" t="n">
        <v>42585</v>
      </c>
      <c r="C205" s="348" t="n">
        <f aca="false">YEAR('LT records'!$B205)</f>
        <v>2016</v>
      </c>
      <c r="D205" s="346" t="str">
        <f aca="false">'LT records'!$C205&amp;"-"&amp;MONTH('LT records'!$B205)</f>
        <v>2016-8</v>
      </c>
      <c r="E205" s="324" t="s">
        <v>340</v>
      </c>
      <c r="F205" s="324" t="str">
        <f aca="false">LEFT('LT records'!$E205,3)</f>
        <v>MyF</v>
      </c>
      <c r="G205" s="324" t="str">
        <f aca="false">IF(OR('LT records'!$F205="MyF", 'LT records'!$F205="DEP"),"DEP",IF('LT records'!$F205="CSH","CSH",IF('LT records'!$F205="BON","BND",IF('LT records'!$F205="Sma","MKT",IF(OR('LT records'!$F205="Val", 'LT records'!$F205="EUR"),"FCY",IF('LT records'!$F205="X-P","PP3",IF('LT records'!$F205="X-m","XAU","???")))))))</f>
        <v>DEP</v>
      </c>
      <c r="H205" s="325" t="n">
        <v>1000</v>
      </c>
      <c r="I205" s="340"/>
      <c r="J205" s="325"/>
      <c r="K205" s="340"/>
      <c r="L205" s="341" t="s">
        <v>382</v>
      </c>
      <c r="M205" s="342" t="str">
        <f aca="false">YEAR('LT records'!$B205)&amp;"-"&amp;MONTH('LT records'!$B205)</f>
        <v>2016-8</v>
      </c>
      <c r="N205" s="343" t="n">
        <f aca="false">'LT records'!$H205+'LT records'!$I205</f>
        <v>1000</v>
      </c>
      <c r="O205" s="335"/>
      <c r="P205" s="335"/>
      <c r="Q205" s="336"/>
      <c r="R205" s="337"/>
      <c r="T205" s="327"/>
    </row>
    <row r="206" customFormat="false" ht="12.8" hidden="false" customHeight="false" outlineLevel="0" collapsed="false">
      <c r="B206" s="270" t="n">
        <v>42604</v>
      </c>
      <c r="C206" s="348" t="n">
        <f aca="false">YEAR('LT records'!$B206)</f>
        <v>2016</v>
      </c>
      <c r="D206" s="346" t="str">
        <f aca="false">'LT records'!$C206&amp;"-"&amp;MONTH('LT records'!$B206)</f>
        <v>2016-8</v>
      </c>
      <c r="E206" s="324" t="s">
        <v>367</v>
      </c>
      <c r="F206" s="324" t="str">
        <f aca="false">LEFT('LT records'!$E206,3)</f>
        <v>MyF</v>
      </c>
      <c r="G206" s="324" t="str">
        <f aca="false">IF(OR('LT records'!$F206="MyF", 'LT records'!$F206="DEP"),"DEP",IF('LT records'!$F206="CSH","CSH",IF('LT records'!$F206="BON","BND",IF('LT records'!$F206="Sma","MKT",IF(OR('LT records'!$F206="Val", 'LT records'!$F206="EUR"),"FCY",IF('LT records'!$F206="X-P","PP3",IF('LT records'!$F206="X-m","XAU","???")))))))</f>
        <v>DEP</v>
      </c>
      <c r="H206" s="325" t="n">
        <v>-1.55</v>
      </c>
      <c r="I206" s="340" t="n">
        <v>1.55</v>
      </c>
      <c r="J206" s="325"/>
      <c r="K206" s="340"/>
      <c r="L206" s="341" t="s">
        <v>40</v>
      </c>
      <c r="M206" s="342" t="str">
        <f aca="false">YEAR('LT records'!$B206)&amp;"-"&amp;MONTH('LT records'!$B206)</f>
        <v>2016-8</v>
      </c>
      <c r="N206" s="343" t="n">
        <f aca="false">'LT records'!$H206+'LT records'!$I206</f>
        <v>0</v>
      </c>
      <c r="O206" s="335"/>
      <c r="P206" s="335"/>
      <c r="Q206" s="336"/>
      <c r="R206" s="337"/>
      <c r="T206" s="327"/>
    </row>
    <row r="207" customFormat="false" ht="12.8" hidden="false" customHeight="false" outlineLevel="0" collapsed="false">
      <c r="B207" s="270" t="n">
        <v>42608</v>
      </c>
      <c r="C207" s="348" t="n">
        <f aca="false">YEAR('LT records'!$B207)</f>
        <v>2016</v>
      </c>
      <c r="D207" s="346" t="str">
        <f aca="false">'LT records'!$C207&amp;"-"&amp;MONTH('LT records'!$B207)</f>
        <v>2016-8</v>
      </c>
      <c r="E207" s="324" t="s">
        <v>372</v>
      </c>
      <c r="F207" s="324" t="str">
        <f aca="false">LEFT('LT records'!$E207,3)</f>
        <v>BCR</v>
      </c>
      <c r="G207" s="324" t="s">
        <v>373</v>
      </c>
      <c r="H207" s="325" t="n">
        <v>-181.06</v>
      </c>
      <c r="I207" s="340" t="n">
        <v>181.06</v>
      </c>
      <c r="J207" s="325"/>
      <c r="K207" s="340"/>
      <c r="L207" s="341" t="s">
        <v>383</v>
      </c>
      <c r="M207" s="342" t="str">
        <f aca="false">YEAR('LT records'!$B207)&amp;"-"&amp;MONTH('LT records'!$B207)</f>
        <v>2016-8</v>
      </c>
      <c r="N207" s="343" t="n">
        <f aca="false">'LT records'!$H207+'LT records'!$I207</f>
        <v>0</v>
      </c>
      <c r="O207" s="335"/>
      <c r="P207" s="335"/>
      <c r="Q207" s="336"/>
      <c r="R207" s="337"/>
      <c r="T207" s="327"/>
    </row>
    <row r="208" customFormat="false" ht="12.8" hidden="false" customHeight="false" outlineLevel="0" collapsed="false">
      <c r="B208" s="270" t="n">
        <v>42611</v>
      </c>
      <c r="C208" s="348" t="n">
        <f aca="false">YEAR('LT records'!$B208)</f>
        <v>2016</v>
      </c>
      <c r="D208" s="346" t="str">
        <f aca="false">'LT records'!$C208&amp;"-"&amp;MONTH('LT records'!$B208)</f>
        <v>2016-8</v>
      </c>
      <c r="E208" s="324" t="s">
        <v>363</v>
      </c>
      <c r="F208" s="324" t="str">
        <f aca="false">LEFT('LT records'!$E208,3)</f>
        <v>MyF</v>
      </c>
      <c r="G208" s="324" t="str">
        <f aca="false">IF(OR('LT records'!$F208="MyF", 'LT records'!$F208="DEP"),"DEP",IF('LT records'!$F208="CSH","CSH",IF('LT records'!$F208="BON","BND",IF('LT records'!$F208="Sma","MKT",IF(OR('LT records'!$F208="Val", 'LT records'!$F208="EUR"),"FCY",IF('LT records'!$F208="X-P","PP3",IF('LT records'!$F208="X-m","XAU","???")))))))</f>
        <v>DEP</v>
      </c>
      <c r="H208" s="325" t="n">
        <v>998.01</v>
      </c>
      <c r="I208" s="340" t="n">
        <v>1.99</v>
      </c>
      <c r="J208" s="325"/>
      <c r="K208" s="340"/>
      <c r="L208" s="341" t="s">
        <v>384</v>
      </c>
      <c r="M208" s="342" t="str">
        <f aca="false">YEAR('LT records'!$B208)&amp;"-"&amp;MONTH('LT records'!$B208)</f>
        <v>2016-8</v>
      </c>
      <c r="N208" s="343" t="n">
        <f aca="false">'LT records'!$H208+'LT records'!$I208</f>
        <v>1000</v>
      </c>
      <c r="O208" s="335"/>
      <c r="P208" s="335"/>
      <c r="Q208" s="336"/>
      <c r="R208" s="337"/>
      <c r="T208" s="327"/>
    </row>
    <row r="209" customFormat="false" ht="12.8" hidden="false" customHeight="false" outlineLevel="0" collapsed="false">
      <c r="B209" s="270" t="n">
        <v>42618</v>
      </c>
      <c r="C209" s="348" t="n">
        <f aca="false">YEAR('LT records'!$B209)</f>
        <v>2016</v>
      </c>
      <c r="D209" s="346" t="str">
        <f aca="false">'LT records'!$C209&amp;"-"&amp;MONTH('LT records'!$B209)</f>
        <v>2016-9</v>
      </c>
      <c r="E209" s="324" t="s">
        <v>340</v>
      </c>
      <c r="F209" s="324" t="str">
        <f aca="false">LEFT('LT records'!$E209,3)</f>
        <v>MyF</v>
      </c>
      <c r="G209" s="324" t="str">
        <f aca="false">IF(OR('LT records'!$F209="MyF", 'LT records'!$F209="DEP"),"DEP",IF('LT records'!$F209="CSH","CSH",IF('LT records'!$F209="BON","BND",IF('LT records'!$F209="Sma","MKT",IF(OR('LT records'!$F209="Val", 'LT records'!$F209="EUR"),"FCY",IF('LT records'!$F209="X-P","PP3",IF('LT records'!$F209="X-m","XAU","???")))))))</f>
        <v>DEP</v>
      </c>
      <c r="H209" s="325" t="n">
        <v>699.47</v>
      </c>
      <c r="I209" s="340" t="n">
        <v>0.53</v>
      </c>
      <c r="J209" s="325"/>
      <c r="K209" s="340"/>
      <c r="L209" s="341" t="s">
        <v>385</v>
      </c>
      <c r="M209" s="342" t="str">
        <f aca="false">YEAR('LT records'!$B209)&amp;"-"&amp;MONTH('LT records'!$B209)</f>
        <v>2016-9</v>
      </c>
      <c r="N209" s="343" t="n">
        <f aca="false">'LT records'!$H209+'LT records'!$I209</f>
        <v>700</v>
      </c>
      <c r="O209" s="335"/>
      <c r="P209" s="335"/>
      <c r="Q209" s="336"/>
      <c r="R209" s="337"/>
      <c r="T209" s="327"/>
    </row>
    <row r="210" customFormat="false" ht="12.8" hidden="false" customHeight="false" outlineLevel="0" collapsed="false">
      <c r="B210" s="270" t="n">
        <v>42635</v>
      </c>
      <c r="C210" s="348" t="n">
        <f aca="false">YEAR('LT records'!$B210)</f>
        <v>2016</v>
      </c>
      <c r="D210" s="346" t="str">
        <f aca="false">'LT records'!$C210&amp;"-"&amp;MONTH('LT records'!$B210)</f>
        <v>2016-9</v>
      </c>
      <c r="E210" s="324" t="s">
        <v>367</v>
      </c>
      <c r="F210" s="324" t="str">
        <f aca="false">LEFT('LT records'!$E210,3)</f>
        <v>MyF</v>
      </c>
      <c r="G210" s="324" t="str">
        <f aca="false">IF(OR('LT records'!$F210="MyF", 'LT records'!$F210="DEP"),"DEP",IF('LT records'!$F210="CSH","CSH",IF('LT records'!$F210="BON","BND",IF('LT records'!$F210="Sma","MKT",IF(OR('LT records'!$F210="Val", 'LT records'!$F210="EUR"),"FCY",IF('LT records'!$F210="X-P","PP3",IF('LT records'!$F210="X-m","XAU","???")))))))</f>
        <v>DEP</v>
      </c>
      <c r="H210" s="325" t="n">
        <v>-1.5</v>
      </c>
      <c r="I210" s="340" t="n">
        <v>1.5</v>
      </c>
      <c r="J210" s="325"/>
      <c r="K210" s="340"/>
      <c r="L210" s="341" t="s">
        <v>369</v>
      </c>
      <c r="M210" s="342" t="str">
        <f aca="false">YEAR('LT records'!$B210)&amp;"-"&amp;MONTH('LT records'!$B210)</f>
        <v>2016-9</v>
      </c>
      <c r="N210" s="343" t="n">
        <f aca="false">'LT records'!$H210+'LT records'!$I210</f>
        <v>0</v>
      </c>
      <c r="O210" s="335"/>
      <c r="P210" s="335"/>
      <c r="Q210" s="336"/>
      <c r="R210" s="337"/>
      <c r="T210" s="327"/>
    </row>
    <row r="211" customFormat="false" ht="12.8" hidden="false" customHeight="false" outlineLevel="0" collapsed="false">
      <c r="B211" s="270" t="n">
        <v>42642</v>
      </c>
      <c r="C211" s="348" t="n">
        <f aca="false">YEAR('LT records'!$B211)</f>
        <v>2016</v>
      </c>
      <c r="D211" s="346" t="str">
        <f aca="false">'LT records'!$C211&amp;"-"&amp;MONTH('LT records'!$B211)</f>
        <v>2016-9</v>
      </c>
      <c r="E211" s="324" t="s">
        <v>363</v>
      </c>
      <c r="F211" s="324" t="str">
        <f aca="false">LEFT('LT records'!$E211,3)</f>
        <v>MyF</v>
      </c>
      <c r="G211" s="324" t="str">
        <f aca="false">IF(OR('LT records'!$F211="MyF", 'LT records'!$F211="DEP"),"DEP",IF('LT records'!$F211="CSH","CSH",IF('LT records'!$F211="BON","BND",IF('LT records'!$F211="Sma","MKT",IF(OR('LT records'!$F211="Val", 'LT records'!$F211="EUR"),"FCY",IF('LT records'!$F211="X-P","PP3",IF('LT records'!$F211="X-m","XAU","???")))))))</f>
        <v>DEP</v>
      </c>
      <c r="H211" s="325" t="n">
        <v>-2.49</v>
      </c>
      <c r="I211" s="340" t="n">
        <v>2.49</v>
      </c>
      <c r="J211" s="325"/>
      <c r="K211" s="340"/>
      <c r="L211" s="341" t="s">
        <v>369</v>
      </c>
      <c r="M211" s="342" t="str">
        <f aca="false">YEAR('LT records'!$B211)&amp;"-"&amp;MONTH('LT records'!$B211)</f>
        <v>2016-9</v>
      </c>
      <c r="N211" s="343" t="n">
        <f aca="false">'LT records'!$H211+'LT records'!$I211</f>
        <v>0</v>
      </c>
      <c r="O211" s="347"/>
      <c r="P211" s="347"/>
      <c r="Q211" s="336"/>
      <c r="R211" s="337"/>
      <c r="T211" s="327"/>
    </row>
    <row r="212" customFormat="false" ht="12.8" hidden="false" customHeight="false" outlineLevel="0" collapsed="false">
      <c r="B212" s="270" t="n">
        <v>42648</v>
      </c>
      <c r="C212" s="348" t="n">
        <f aca="false">YEAR('LT records'!$B212)</f>
        <v>2016</v>
      </c>
      <c r="D212" s="346" t="str">
        <f aca="false">'LT records'!$C212&amp;"-"&amp;MONTH('LT records'!$B212)</f>
        <v>2016-10</v>
      </c>
      <c r="E212" s="324" t="s">
        <v>340</v>
      </c>
      <c r="F212" s="324" t="str">
        <f aca="false">LEFT('LT records'!$E212,3)</f>
        <v>MyF</v>
      </c>
      <c r="G212" s="324" t="str">
        <f aca="false">IF(OR('LT records'!$F212="MyF", 'LT records'!$F212="DEP"),"DEP",IF('LT records'!$F212="CSH","CSH",IF('LT records'!$F212="BON","BND",IF('LT records'!$F212="Sma","MKT",IF(OR('LT records'!$F212="Val", 'LT records'!$F212="EUR"),"FCY",IF('LT records'!$F212="X-P","PP3",IF('LT records'!$F212="X-m","XAU","???")))))))</f>
        <v>DEP</v>
      </c>
      <c r="H212" s="325" t="n">
        <v>1299.18</v>
      </c>
      <c r="I212" s="340" t="n">
        <v>0.82</v>
      </c>
      <c r="J212" s="325"/>
      <c r="K212" s="340"/>
      <c r="L212" s="341"/>
      <c r="M212" s="342" t="str">
        <f aca="false">YEAR('LT records'!$B212)&amp;"-"&amp;MONTH('LT records'!$B212)</f>
        <v>2016-10</v>
      </c>
      <c r="N212" s="343" t="n">
        <f aca="false">'LT records'!$H212+'LT records'!$I212</f>
        <v>1300</v>
      </c>
      <c r="O212" s="347"/>
      <c r="P212" s="347"/>
      <c r="Q212" s="336"/>
      <c r="R212" s="337"/>
      <c r="T212" s="327"/>
    </row>
    <row r="213" customFormat="false" ht="12.8" hidden="false" customHeight="false" outlineLevel="0" collapsed="false">
      <c r="B213" s="270" t="n">
        <v>42667</v>
      </c>
      <c r="C213" s="348" t="n">
        <f aca="false">YEAR('LT records'!$B213)</f>
        <v>2016</v>
      </c>
      <c r="D213" s="346" t="str">
        <f aca="false">'LT records'!$C213&amp;"-"&amp;MONTH('LT records'!$B213)</f>
        <v>2016-10</v>
      </c>
      <c r="E213" s="324" t="s">
        <v>367</v>
      </c>
      <c r="F213" s="324" t="str">
        <f aca="false">LEFT('LT records'!$E213,3)</f>
        <v>MyF</v>
      </c>
      <c r="G213" s="324" t="str">
        <f aca="false">IF(OR('LT records'!$F213="MyF", 'LT records'!$F213="DEP"),"DEP",IF('LT records'!$F213="CSH","CSH",IF('LT records'!$F213="BON","BND",IF('LT records'!$F213="Sma","MKT",IF(OR('LT records'!$F213="Val", 'LT records'!$F213="EUR"),"FCY",IF('LT records'!$F213="X-P","PP3",IF('LT records'!$F213="X-m","XAU","???")))))))</f>
        <v>DEP</v>
      </c>
      <c r="H213" s="325" t="n">
        <v>-1.55</v>
      </c>
      <c r="I213" s="340" t="n">
        <v>1.55</v>
      </c>
      <c r="J213" s="325"/>
      <c r="K213" s="340"/>
      <c r="L213" s="341" t="s">
        <v>369</v>
      </c>
      <c r="M213" s="342" t="str">
        <f aca="false">YEAR('LT records'!$B213)&amp;"-"&amp;MONTH('LT records'!$B213)</f>
        <v>2016-10</v>
      </c>
      <c r="N213" s="343" t="n">
        <f aca="false">'LT records'!$H213+'LT records'!$I213</f>
        <v>0</v>
      </c>
      <c r="O213" s="347"/>
      <c r="P213" s="347"/>
      <c r="Q213" s="336"/>
      <c r="R213" s="337"/>
      <c r="T213" s="327"/>
    </row>
    <row r="214" customFormat="false" ht="12.8" hidden="false" customHeight="false" outlineLevel="0" collapsed="false">
      <c r="B214" s="270" t="n">
        <v>42670</v>
      </c>
      <c r="C214" s="348" t="n">
        <f aca="false">YEAR('LT records'!$B214)</f>
        <v>2016</v>
      </c>
      <c r="D214" s="346" t="str">
        <f aca="false">'LT records'!$C214&amp;"-"&amp;MONTH('LT records'!$B214)</f>
        <v>2016-10</v>
      </c>
      <c r="E214" s="324" t="s">
        <v>355</v>
      </c>
      <c r="F214" s="324" t="str">
        <f aca="false">LEFT('LT records'!$E214,3)</f>
        <v>MyF</v>
      </c>
      <c r="G214" s="324" t="str">
        <f aca="false">IF(OR('LT records'!$F214="MyF", 'LT records'!$F214="DEP"),"DEP",IF('LT records'!$F214="CSH","CSH",IF('LT records'!$F214="BON","BND",IF('LT records'!$F214="Sma","MKT",IF(OR('LT records'!$F214="Val", 'LT records'!$F214="EUR"),"FCY",IF('LT records'!$F214="X-P","PP3",IF('LT records'!$F214="X-m","XAU","???")))))))</f>
        <v>DEP</v>
      </c>
      <c r="H214" s="325" t="n">
        <v>0</v>
      </c>
      <c r="I214" s="340" t="n">
        <v>63.92</v>
      </c>
      <c r="J214" s="325"/>
      <c r="K214" s="340"/>
      <c r="L214" s="341" t="s">
        <v>386</v>
      </c>
      <c r="M214" s="342" t="str">
        <f aca="false">YEAR('LT records'!$B214)&amp;"-"&amp;MONTH('LT records'!$B214)</f>
        <v>2016-10</v>
      </c>
      <c r="N214" s="343" t="n">
        <f aca="false">'LT records'!$H214+'LT records'!$I214</f>
        <v>63.92</v>
      </c>
      <c r="O214" s="347"/>
      <c r="P214" s="347"/>
      <c r="Q214" s="336"/>
      <c r="R214" s="337"/>
      <c r="T214" s="327"/>
    </row>
    <row r="215" customFormat="false" ht="12.8" hidden="false" customHeight="false" outlineLevel="0" collapsed="false">
      <c r="B215" s="270" t="n">
        <v>42674</v>
      </c>
      <c r="C215" s="348" t="n">
        <f aca="false">YEAR('LT records'!$B215)</f>
        <v>2016</v>
      </c>
      <c r="D215" s="346" t="str">
        <f aca="false">'LT records'!$C215&amp;"-"&amp;MONTH('LT records'!$B215)</f>
        <v>2016-10</v>
      </c>
      <c r="E215" s="324" t="s">
        <v>363</v>
      </c>
      <c r="F215" s="324" t="str">
        <f aca="false">LEFT('LT records'!$E215,3)</f>
        <v>MyF</v>
      </c>
      <c r="G215" s="324" t="str">
        <f aca="false">IF(OR('LT records'!$F215="MyF", 'LT records'!$F215="DEP"),"DEP",IF('LT records'!$F215="CSH","CSH",IF('LT records'!$F215="BON","BND",IF('LT records'!$F215="Sma","MKT",IF(OR('LT records'!$F215="Val", 'LT records'!$F215="EUR"),"FCY",IF('LT records'!$F215="X-P","PP3",IF('LT records'!$F215="X-m","XAU","???")))))))</f>
        <v>DEP</v>
      </c>
      <c r="H215" s="325" t="n">
        <f aca="false">-2.57+500</f>
        <v>497.43</v>
      </c>
      <c r="I215" s="340" t="n">
        <v>2.57</v>
      </c>
      <c r="J215" s="325"/>
      <c r="K215" s="340"/>
      <c r="L215" s="341" t="s">
        <v>387</v>
      </c>
      <c r="M215" s="342" t="str">
        <f aca="false">YEAR('LT records'!$B215)&amp;"-"&amp;MONTH('LT records'!$B215)</f>
        <v>2016-10</v>
      </c>
      <c r="N215" s="343" t="n">
        <f aca="false">'LT records'!$H215+'LT records'!$I215</f>
        <v>500</v>
      </c>
      <c r="O215" s="347"/>
      <c r="P215" s="347"/>
      <c r="Q215" s="336"/>
      <c r="R215" s="337"/>
      <c r="T215" s="327"/>
    </row>
    <row r="216" customFormat="false" ht="12.8" hidden="false" customHeight="false" outlineLevel="0" collapsed="false">
      <c r="B216" s="270" t="n">
        <v>42681</v>
      </c>
      <c r="C216" s="348" t="n">
        <f aca="false">YEAR('LT records'!$B216)</f>
        <v>2016</v>
      </c>
      <c r="D216" s="346" t="str">
        <f aca="false">'LT records'!$C216&amp;"-"&amp;MONTH('LT records'!$B216)</f>
        <v>2016-11</v>
      </c>
      <c r="E216" s="324" t="s">
        <v>340</v>
      </c>
      <c r="F216" s="324" t="str">
        <f aca="false">LEFT('LT records'!$E216,3)</f>
        <v>MyF</v>
      </c>
      <c r="G216" s="324" t="str">
        <f aca="false">IF(OR('LT records'!$F216="MyF", 'LT records'!$F216="DEP"),"DEP",IF('LT records'!$F216="CSH","CSH",IF('LT records'!$F216="BON","BND",IF('LT records'!$F216="Sma","MKT",IF(OR('LT records'!$F216="Val", 'LT records'!$F216="EUR"),"FCY",IF('LT records'!$F216="X-P","PP3",IF('LT records'!$F216="X-m","XAU","???")))))))</f>
        <v>DEP</v>
      </c>
      <c r="H216" s="325" t="n">
        <v>0</v>
      </c>
      <c r="I216" s="340" t="n">
        <v>1.59</v>
      </c>
      <c r="J216" s="325"/>
      <c r="K216" s="340"/>
      <c r="L216" s="341" t="s">
        <v>369</v>
      </c>
      <c r="M216" s="342" t="str">
        <f aca="false">YEAR('LT records'!$B216)&amp;"-"&amp;MONTH('LT records'!$B216)</f>
        <v>2016-11</v>
      </c>
      <c r="N216" s="343" t="n">
        <f aca="false">'LT records'!$H216+'LT records'!$I216</f>
        <v>1.59</v>
      </c>
      <c r="O216" s="347"/>
      <c r="P216" s="347"/>
      <c r="Q216" s="336"/>
      <c r="R216" s="337"/>
      <c r="T216" s="327"/>
    </row>
    <row r="217" customFormat="false" ht="12.8" hidden="false" customHeight="false" outlineLevel="0" collapsed="false">
      <c r="B217" s="270" t="n">
        <v>42697</v>
      </c>
      <c r="C217" s="348" t="n">
        <f aca="false">YEAR('LT records'!$B217)</f>
        <v>2016</v>
      </c>
      <c r="D217" s="346" t="str">
        <f aca="false">'LT records'!$C217&amp;"-"&amp;MONTH('LT records'!$B217)</f>
        <v>2016-11</v>
      </c>
      <c r="E217" s="324" t="s">
        <v>344</v>
      </c>
      <c r="F217" s="324" t="str">
        <f aca="false">LEFT('LT records'!$E217,3)</f>
        <v>MyF</v>
      </c>
      <c r="G217" s="324" t="str">
        <f aca="false">IF(OR('LT records'!$F217="MyF", 'LT records'!$F217="DEP"),"DEP",IF('LT records'!$F217="CSH","CSH",IF('LT records'!$F217="BON","BND",IF('LT records'!$F217="Sma","MKT",IF(OR('LT records'!$F217="Val", 'LT records'!$F217="EUR"),"FCY",IF('LT records'!$F217="X-P","PP3",IF('LT records'!$F217="X-m","XAU","???")))))))</f>
        <v>DEP</v>
      </c>
      <c r="H217" s="325" t="n">
        <v>0</v>
      </c>
      <c r="I217" s="340" t="n">
        <v>65.81</v>
      </c>
      <c r="J217" s="325"/>
      <c r="K217" s="340"/>
      <c r="L217" s="341" t="s">
        <v>388</v>
      </c>
      <c r="M217" s="342" t="str">
        <f aca="false">YEAR('LT records'!$B217)&amp;"-"&amp;MONTH('LT records'!$B217)</f>
        <v>2016-11</v>
      </c>
      <c r="N217" s="343" t="n">
        <f aca="false">'LT records'!$H217+'LT records'!$I217</f>
        <v>65.81</v>
      </c>
      <c r="O217" s="347"/>
      <c r="P217" s="347"/>
      <c r="Q217" s="336"/>
      <c r="R217" s="337"/>
      <c r="T217" s="327"/>
    </row>
    <row r="218" customFormat="false" ht="12.8" hidden="false" customHeight="false" outlineLevel="0" collapsed="false">
      <c r="B218" s="270" t="n">
        <v>42698</v>
      </c>
      <c r="C218" s="348" t="n">
        <f aca="false">YEAR('LT records'!$B218)</f>
        <v>2016</v>
      </c>
      <c r="D218" s="346" t="str">
        <f aca="false">'LT records'!$C218&amp;"-"&amp;MONTH('LT records'!$B218)</f>
        <v>2016-11</v>
      </c>
      <c r="E218" s="324" t="s">
        <v>367</v>
      </c>
      <c r="F218" s="324" t="str">
        <f aca="false">LEFT('LT records'!$E218,3)</f>
        <v>MyF</v>
      </c>
      <c r="G218" s="324" t="str">
        <f aca="false">IF(OR('LT records'!$F218="MyF", 'LT records'!$F218="DEP"),"DEP",IF('LT records'!$F218="CSH","CSH",IF('LT records'!$F218="BON","BND",IF('LT records'!$F218="Sma","MKT",IF(OR('LT records'!$F218="Val", 'LT records'!$F218="EUR"),"FCY",IF('LT records'!$F218="X-P","PP3",IF('LT records'!$F218="X-m","XAU","???")))))))</f>
        <v>DEP</v>
      </c>
      <c r="H218" s="325" t="n">
        <v>0</v>
      </c>
      <c r="I218" s="340" t="n">
        <v>1.07</v>
      </c>
      <c r="J218" s="325"/>
      <c r="K218" s="340"/>
      <c r="L218" s="341" t="s">
        <v>389</v>
      </c>
      <c r="M218" s="342" t="str">
        <f aca="false">YEAR('LT records'!$B218)&amp;"-"&amp;MONTH('LT records'!$B218)</f>
        <v>2016-11</v>
      </c>
      <c r="N218" s="343" t="n">
        <f aca="false">'LT records'!$H218+'LT records'!$I218</f>
        <v>1.07</v>
      </c>
      <c r="O218" s="347"/>
      <c r="P218" s="347"/>
      <c r="Q218" s="336"/>
      <c r="R218" s="337"/>
      <c r="T218" s="327"/>
    </row>
    <row r="219" customFormat="false" ht="12.8" hidden="false" customHeight="false" outlineLevel="0" collapsed="false">
      <c r="B219" s="270" t="n">
        <v>42703</v>
      </c>
      <c r="C219" s="348" t="n">
        <f aca="false">YEAR('LT records'!$B219)</f>
        <v>2016</v>
      </c>
      <c r="D219" s="346" t="str">
        <f aca="false">'LT records'!$C219&amp;"-"&amp;MONTH('LT records'!$B219)</f>
        <v>2016-11</v>
      </c>
      <c r="E219" s="324" t="s">
        <v>337</v>
      </c>
      <c r="F219" s="324" t="str">
        <f aca="false">LEFT('LT records'!$E219,3)</f>
        <v>MyF</v>
      </c>
      <c r="G219" s="324" t="str">
        <f aca="false">IF(OR('LT records'!$F219="MyF", 'LT records'!$F219="DEP"),"DEP",IF('LT records'!$F219="CSH","CSH",IF('LT records'!$F219="BON","BND",IF('LT records'!$F219="Sma","MKT",IF(OR('LT records'!$F219="Val", 'LT records'!$F219="EUR"),"FCY",IF('LT records'!$F219="X-P","PP3",IF('LT records'!$F219="X-m","XAU","???")))))))</f>
        <v>DEP</v>
      </c>
      <c r="H219" s="325" t="n">
        <v>0</v>
      </c>
      <c r="I219" s="340" t="n">
        <v>65.07</v>
      </c>
      <c r="J219" s="325"/>
      <c r="K219" s="340"/>
      <c r="L219" s="341" t="s">
        <v>388</v>
      </c>
      <c r="M219" s="342" t="str">
        <f aca="false">YEAR('LT records'!$B219)&amp;"-"&amp;MONTH('LT records'!$B219)</f>
        <v>2016-11</v>
      </c>
      <c r="N219" s="343" t="n">
        <f aca="false">'LT records'!$H219+'LT records'!$I219</f>
        <v>65.07</v>
      </c>
      <c r="O219" s="347"/>
      <c r="P219" s="347"/>
      <c r="Q219" s="336"/>
      <c r="R219" s="337"/>
      <c r="T219" s="327"/>
    </row>
    <row r="220" customFormat="false" ht="12.8" hidden="false" customHeight="false" outlineLevel="0" collapsed="false">
      <c r="B220" s="270" t="n">
        <v>42703</v>
      </c>
      <c r="C220" s="348" t="n">
        <f aca="false">YEAR('LT records'!$B220)</f>
        <v>2016</v>
      </c>
      <c r="D220" s="346" t="str">
        <f aca="false">'LT records'!$C220&amp;"-"&amp;MONTH('LT records'!$B220)</f>
        <v>2016-11</v>
      </c>
      <c r="E220" s="324" t="s">
        <v>363</v>
      </c>
      <c r="F220" s="324" t="str">
        <f aca="false">LEFT('LT records'!$E220,3)</f>
        <v>MyF</v>
      </c>
      <c r="G220" s="324" t="str">
        <f aca="false">IF(OR('LT records'!$F220="MyF", 'LT records'!$F220="DEP"),"DEP",IF('LT records'!$F220="CSH","CSH",IF('LT records'!$F220="BON","BND",IF('LT records'!$F220="Sma","MKT",IF(OR('LT records'!$F220="Val", 'LT records'!$F220="EUR"),"FCY",IF('LT records'!$F220="X-P","PP3",IF('LT records'!$F220="X-m","XAU","???")))))))</f>
        <v>DEP</v>
      </c>
      <c r="H220" s="325" t="n">
        <v>1998.17</v>
      </c>
      <c r="I220" s="340" t="n">
        <v>1.83</v>
      </c>
      <c r="J220" s="325"/>
      <c r="K220" s="340"/>
      <c r="L220" s="341" t="s">
        <v>390</v>
      </c>
      <c r="M220" s="342" t="str">
        <f aca="false">YEAR('LT records'!$B220)&amp;"-"&amp;MONTH('LT records'!$B220)</f>
        <v>2016-11</v>
      </c>
      <c r="N220" s="343" t="n">
        <f aca="false">'LT records'!$H220+'LT records'!$I220</f>
        <v>2000</v>
      </c>
      <c r="O220" s="347"/>
      <c r="P220" s="347"/>
      <c r="Q220" s="336"/>
      <c r="R220" s="337"/>
      <c r="T220" s="327"/>
    </row>
    <row r="221" customFormat="false" ht="12.8" hidden="false" customHeight="false" outlineLevel="0" collapsed="false">
      <c r="B221" s="270" t="n">
        <v>42711</v>
      </c>
      <c r="C221" s="348" t="n">
        <f aca="false">YEAR('LT records'!$B221)</f>
        <v>2016</v>
      </c>
      <c r="D221" s="346" t="str">
        <f aca="false">'LT records'!$C221&amp;"-"&amp;MONTH('LT records'!$B221)</f>
        <v>2016-12</v>
      </c>
      <c r="E221" s="324" t="s">
        <v>340</v>
      </c>
      <c r="F221" s="324" t="str">
        <f aca="false">LEFT('LT records'!$E221,3)</f>
        <v>MyF</v>
      </c>
      <c r="G221" s="324" t="str">
        <f aca="false">IF(OR('LT records'!$F221="MyF", 'LT records'!$F221="DEP"),"DEP",IF('LT records'!$F221="CSH","CSH",IF('LT records'!$F221="BON","BND",IF('LT records'!$F221="Sma","MKT",IF(OR('LT records'!$F221="Val", 'LT records'!$F221="EUR"),"FCY",IF('LT records'!$F221="X-P","PP3",IF('LT records'!$F221="X-m","XAU","???")))))))</f>
        <v>DEP</v>
      </c>
      <c r="H221" s="325" t="n">
        <v>0</v>
      </c>
      <c r="I221" s="340" t="n">
        <v>1.03</v>
      </c>
      <c r="J221" s="325"/>
      <c r="K221" s="340"/>
      <c r="L221" s="341" t="s">
        <v>389</v>
      </c>
      <c r="M221" s="342" t="str">
        <f aca="false">YEAR('LT records'!$B221)&amp;"-"&amp;MONTH('LT records'!$B221)</f>
        <v>2016-12</v>
      </c>
      <c r="N221" s="343" t="n">
        <f aca="false">'LT records'!$H221+'LT records'!$I221</f>
        <v>1.03</v>
      </c>
      <c r="O221" s="347"/>
      <c r="P221" s="347"/>
      <c r="Q221" s="336"/>
      <c r="R221" s="337"/>
      <c r="T221" s="327"/>
    </row>
    <row r="222" customFormat="false" ht="12.8" hidden="false" customHeight="false" outlineLevel="0" collapsed="false">
      <c r="B222" s="270" t="n">
        <v>42725</v>
      </c>
      <c r="C222" s="348" t="n">
        <f aca="false">YEAR('LT records'!$B222)</f>
        <v>2016</v>
      </c>
      <c r="D222" s="346" t="str">
        <f aca="false">'LT records'!$C222&amp;"-"&amp;MONTH('LT records'!$B222)</f>
        <v>2016-12</v>
      </c>
      <c r="E222" s="324" t="s">
        <v>360</v>
      </c>
      <c r="F222" s="324" t="str">
        <f aca="false">LEFT('LT records'!$E222,3)</f>
        <v>MyF</v>
      </c>
      <c r="G222" s="324" t="str">
        <f aca="false">IF(OR('LT records'!$F222="MyF", 'LT records'!$F222="DEP"),"DEP",IF('LT records'!$F222="CSH","CSH",IF('LT records'!$F222="BON","BND",IF('LT records'!$F222="Sma","MKT",IF(OR('LT records'!$F222="Val", 'LT records'!$F222="EUR"),"FCY",IF('LT records'!$F222="X-P","PP3",IF('LT records'!$F222="X-m","XAU","???")))))))</f>
        <v>DEP</v>
      </c>
      <c r="H222" s="325" t="n">
        <v>0</v>
      </c>
      <c r="I222" s="340" t="n">
        <v>63</v>
      </c>
      <c r="J222" s="325"/>
      <c r="K222" s="340"/>
      <c r="L222" s="341" t="s">
        <v>388</v>
      </c>
      <c r="M222" s="342" t="str">
        <f aca="false">YEAR('LT records'!$B222)&amp;"-"&amp;MONTH('LT records'!$B222)</f>
        <v>2016-12</v>
      </c>
      <c r="N222" s="343" t="n">
        <f aca="false">'LT records'!$H222+'LT records'!$I222</f>
        <v>63</v>
      </c>
      <c r="O222" s="347"/>
      <c r="P222" s="347"/>
      <c r="Q222" s="336"/>
      <c r="R222" s="337"/>
      <c r="T222" s="327"/>
    </row>
    <row r="223" customFormat="false" ht="12.8" hidden="false" customHeight="false" outlineLevel="0" collapsed="false">
      <c r="B223" s="270" t="n">
        <v>42731</v>
      </c>
      <c r="C223" s="348" t="n">
        <f aca="false">YEAR('LT records'!$B223)</f>
        <v>2016</v>
      </c>
      <c r="D223" s="346" t="str">
        <f aca="false">'LT records'!$C223&amp;"-"&amp;MONTH('LT records'!$B223)</f>
        <v>2016-12</v>
      </c>
      <c r="E223" s="324" t="s">
        <v>350</v>
      </c>
      <c r="F223" s="324" t="str">
        <f aca="false">LEFT('LT records'!$E223,3)</f>
        <v>MyF</v>
      </c>
      <c r="G223" s="324" t="str">
        <f aca="false">IF(OR('LT records'!$F223="MyF", 'LT records'!$F223="DEP"),"DEP",IF('LT records'!$F223="CSH","CSH",IF('LT records'!$F223="BON","BND",IF('LT records'!$F223="Sma","MKT",IF(OR('LT records'!$F223="Val", 'LT records'!$F223="EUR"),"FCY",IF('LT records'!$F223="X-P","PP3",IF('LT records'!$F223="X-m","XAU","???")))))))</f>
        <v>DEP</v>
      </c>
      <c r="H223" s="325" t="n">
        <v>0</v>
      </c>
      <c r="I223" s="340" t="n">
        <v>65.53</v>
      </c>
      <c r="J223" s="325"/>
      <c r="K223" s="340"/>
      <c r="L223" s="341" t="s">
        <v>391</v>
      </c>
      <c r="M223" s="342" t="str">
        <f aca="false">YEAR('LT records'!$B223)&amp;"-"&amp;MONTH('LT records'!$B223)</f>
        <v>2016-12</v>
      </c>
      <c r="N223" s="343" t="n">
        <f aca="false">'LT records'!$H223+'LT records'!$I223</f>
        <v>65.53</v>
      </c>
      <c r="O223" s="347"/>
      <c r="P223" s="347"/>
      <c r="Q223" s="336"/>
      <c r="R223" s="337"/>
      <c r="T223" s="327"/>
    </row>
    <row r="224" customFormat="false" ht="12.8" hidden="false" customHeight="false" outlineLevel="0" collapsed="false">
      <c r="B224" s="270" t="n">
        <v>42731</v>
      </c>
      <c r="C224" s="348" t="n">
        <f aca="false">YEAR('LT records'!$B224)</f>
        <v>2016</v>
      </c>
      <c r="D224" s="346" t="str">
        <f aca="false">'LT records'!$C224&amp;"-"&amp;MONTH('LT records'!$B224)</f>
        <v>2016-12</v>
      </c>
      <c r="E224" s="324" t="s">
        <v>367</v>
      </c>
      <c r="F224" s="324" t="str">
        <f aca="false">LEFT('LT records'!$E224,3)</f>
        <v>MyF</v>
      </c>
      <c r="G224" s="324" t="str">
        <f aca="false">IF(OR('LT records'!$F224="MyF", 'LT records'!$F224="DEP"),"DEP",IF('LT records'!$F224="CSH","CSH",IF('LT records'!$F224="BON","BND",IF('LT records'!$F224="Sma","MKT",IF(OR('LT records'!$F224="Val", 'LT records'!$F224="EUR"),"FCY",IF('LT records'!$F224="X-P","PP3",IF('LT records'!$F224="X-m","XAU","???")))))))</f>
        <v>DEP</v>
      </c>
      <c r="H224" s="325" t="n">
        <v>0</v>
      </c>
      <c r="I224" s="340" t="n">
        <v>1.13</v>
      </c>
      <c r="J224" s="325"/>
      <c r="K224" s="340"/>
      <c r="L224" s="341" t="s">
        <v>389</v>
      </c>
      <c r="M224" s="342" t="str">
        <f aca="false">YEAR('LT records'!$B224)&amp;"-"&amp;MONTH('LT records'!$B224)</f>
        <v>2016-12</v>
      </c>
      <c r="N224" s="343" t="n">
        <f aca="false">'LT records'!$H224+'LT records'!$I224</f>
        <v>1.13</v>
      </c>
      <c r="O224" s="347"/>
      <c r="P224" s="347"/>
      <c r="Q224" s="336"/>
      <c r="R224" s="337"/>
      <c r="T224" s="327"/>
    </row>
    <row r="225" customFormat="false" ht="12.8" hidden="false" customHeight="false" outlineLevel="0" collapsed="false">
      <c r="B225" s="270" t="n">
        <v>42733</v>
      </c>
      <c r="C225" s="348" t="n">
        <f aca="false">YEAR('LT records'!$B225)</f>
        <v>2016</v>
      </c>
      <c r="D225" s="346" t="str">
        <f aca="false">'LT records'!$C225&amp;"-"&amp;MONTH('LT records'!$B225)</f>
        <v>2016-12</v>
      </c>
      <c r="E225" s="324" t="s">
        <v>363</v>
      </c>
      <c r="F225" s="324" t="str">
        <f aca="false">LEFT('LT records'!$E225,3)</f>
        <v>MyF</v>
      </c>
      <c r="G225" s="324" t="str">
        <f aca="false">IF(OR('LT records'!$F225="MyF", 'LT records'!$F225="DEP"),"DEP",IF('LT records'!$F225="CSH","CSH",IF('LT records'!$F225="BON","BND",IF('LT records'!$F225="Sma","MKT",IF(OR('LT records'!$F225="Val", 'LT records'!$F225="EUR"),"FCY",IF('LT records'!$F225="X-P","PP3",IF('LT records'!$F225="X-m","XAU","???")))))))</f>
        <v>DEP</v>
      </c>
      <c r="H225" s="325" t="n">
        <v>2500</v>
      </c>
      <c r="I225" s="340" t="n">
        <v>2.58</v>
      </c>
      <c r="J225" s="325"/>
      <c r="K225" s="340"/>
      <c r="L225" s="341" t="s">
        <v>392</v>
      </c>
      <c r="M225" s="342" t="str">
        <f aca="false">YEAR('LT records'!$B225)&amp;"-"&amp;MONTH('LT records'!$B225)</f>
        <v>2016-12</v>
      </c>
      <c r="N225" s="343" t="n">
        <f aca="false">'LT records'!$H225+'LT records'!$I225</f>
        <v>2502.58</v>
      </c>
      <c r="O225" s="347"/>
      <c r="P225" s="347"/>
      <c r="Q225" s="336"/>
      <c r="R225" s="337"/>
      <c r="T225" s="327"/>
    </row>
    <row r="226" customFormat="false" ht="12.8" hidden="false" customHeight="false" outlineLevel="0" collapsed="false">
      <c r="B226" s="270" t="n">
        <v>42740</v>
      </c>
      <c r="C226" s="348" t="n">
        <f aca="false">YEAR('LT records'!$B226)</f>
        <v>2017</v>
      </c>
      <c r="D226" s="346" t="str">
        <f aca="false">'LT records'!$C226&amp;"-"&amp;MONTH('LT records'!$B226)</f>
        <v>2017-1</v>
      </c>
      <c r="E226" s="324" t="s">
        <v>393</v>
      </c>
      <c r="F226" s="324" t="str">
        <f aca="false">LEFT('LT records'!$E226,3)</f>
        <v>MyF</v>
      </c>
      <c r="G226" s="324" t="str">
        <f aca="false">IF(OR('LT records'!$F226="MyF", 'LT records'!$F226="DEP"),"DEP",IF('LT records'!$F226="CSH","CSH",IF('LT records'!$F226="BON","BND",IF('LT records'!$F226="Sma","MKT",IF(OR('LT records'!$F226="Val", 'LT records'!$F226="EUR"),"FCY",IF('LT records'!$F226="X-P","PP3",IF('LT records'!$F226="X-m","XAU","???")))))))</f>
        <v>DEP</v>
      </c>
      <c r="H226" s="325" t="n">
        <v>1000</v>
      </c>
      <c r="I226" s="340"/>
      <c r="J226" s="325"/>
      <c r="K226" s="340"/>
      <c r="L226" s="341" t="s">
        <v>394</v>
      </c>
      <c r="M226" s="342" t="str">
        <f aca="false">YEAR('LT records'!$B226)&amp;"-"&amp;MONTH('LT records'!$B226)</f>
        <v>2017-1</v>
      </c>
      <c r="N226" s="343" t="n">
        <f aca="false">'LT records'!$H226+'LT records'!$I226</f>
        <v>1000</v>
      </c>
      <c r="O226" s="347"/>
      <c r="P226" s="347"/>
      <c r="Q226" s="336"/>
      <c r="R226" s="337"/>
      <c r="T226" s="327"/>
    </row>
    <row r="227" customFormat="false" ht="12.8" hidden="false" customHeight="false" outlineLevel="0" collapsed="false">
      <c r="B227" s="270" t="n">
        <v>42744</v>
      </c>
      <c r="C227" s="348" t="n">
        <f aca="false">YEAR('LT records'!$B227)</f>
        <v>2017</v>
      </c>
      <c r="D227" s="346" t="str">
        <f aca="false">'LT records'!$C227&amp;"-"&amp;MONTH('LT records'!$B227)</f>
        <v>2017-1</v>
      </c>
      <c r="E227" s="324" t="s">
        <v>340</v>
      </c>
      <c r="F227" s="324" t="str">
        <f aca="false">LEFT('LT records'!$E227,3)</f>
        <v>MyF</v>
      </c>
      <c r="G227" s="324" t="str">
        <f aca="false">IF(OR('LT records'!$F227="MyF", 'LT records'!$F227="DEP"),"DEP",IF('LT records'!$F227="CSH","CSH",IF('LT records'!$F227="BON","BND",IF('LT records'!$F227="Sma","MKT",IF(OR('LT records'!$F227="Val", 'LT records'!$F227="EUR"),"FCY",IF('LT records'!$F227="X-P","PP3",IF('LT records'!$F227="X-m","XAU","???")))))))</f>
        <v>DEP</v>
      </c>
      <c r="H227" s="325" t="n">
        <v>520</v>
      </c>
      <c r="I227" s="340" t="n">
        <v>1.13</v>
      </c>
      <c r="J227" s="325"/>
      <c r="K227" s="340"/>
      <c r="L227" s="341" t="s">
        <v>395</v>
      </c>
      <c r="M227" s="349" t="str">
        <f aca="false">YEAR('LT records'!$B227)&amp;"-"&amp;MONTH('LT records'!$B227)</f>
        <v>2017-1</v>
      </c>
      <c r="N227" s="343" t="n">
        <f aca="false">'LT records'!$H227+'LT records'!$I227</f>
        <v>521.13</v>
      </c>
      <c r="O227" s="347"/>
      <c r="P227" s="347"/>
      <c r="Q227" s="336"/>
      <c r="R227" s="337"/>
      <c r="T227" s="327"/>
    </row>
    <row r="228" customFormat="false" ht="12.8" hidden="false" customHeight="false" outlineLevel="0" collapsed="false">
      <c r="B228" s="270" t="n">
        <v>42744</v>
      </c>
      <c r="C228" s="348" t="n">
        <f aca="false">YEAR('LT records'!$B228)</f>
        <v>2017</v>
      </c>
      <c r="D228" s="346" t="str">
        <f aca="false">'LT records'!$C228&amp;"-"&amp;MONTH('LT records'!$B228)</f>
        <v>2017-1</v>
      </c>
      <c r="E228" s="324" t="s">
        <v>340</v>
      </c>
      <c r="F228" s="324" t="str">
        <f aca="false">LEFT('LT records'!$E228,3)</f>
        <v>MyF</v>
      </c>
      <c r="G228" s="324" t="str">
        <f aca="false">IF(OR('LT records'!$F228="MyF", 'LT records'!$F228="DEP"),"DEP",IF('LT records'!$F228="CSH","CSH",IF('LT records'!$F228="BON","BND",IF('LT records'!$F228="Sma","MKT",IF(OR('LT records'!$F228="Val", 'LT records'!$F228="EUR"),"FCY",IF('LT records'!$F228="X-P","PP3",IF('LT records'!$F228="X-m","XAU","???")))))))</f>
        <v>DEP</v>
      </c>
      <c r="H228" s="325" t="n">
        <v>470</v>
      </c>
      <c r="I228" s="340"/>
      <c r="J228" s="325"/>
      <c r="K228" s="340"/>
      <c r="L228" s="341" t="s">
        <v>396</v>
      </c>
      <c r="M228" s="349" t="str">
        <f aca="false">YEAR('LT records'!$B228)&amp;"-"&amp;MONTH('LT records'!$B228)</f>
        <v>2017-1</v>
      </c>
      <c r="N228" s="343" t="n">
        <f aca="false">'LT records'!$H228+'LT records'!$I228</f>
        <v>470</v>
      </c>
      <c r="O228" s="347"/>
      <c r="P228" s="347"/>
      <c r="Q228" s="336"/>
      <c r="R228" s="337"/>
      <c r="T228" s="327"/>
    </row>
    <row r="229" customFormat="false" ht="12.8" hidden="false" customHeight="false" outlineLevel="0" collapsed="false">
      <c r="B229" s="270" t="n">
        <v>42762</v>
      </c>
      <c r="C229" s="348" t="n">
        <f aca="false">YEAR('LT records'!$B229)</f>
        <v>2017</v>
      </c>
      <c r="D229" s="346" t="str">
        <f aca="false">'LT records'!$C229&amp;"-"&amp;MONTH('LT records'!$B229)</f>
        <v>2017-1</v>
      </c>
      <c r="E229" s="324" t="s">
        <v>367</v>
      </c>
      <c r="F229" s="324" t="str">
        <f aca="false">LEFT('LT records'!$E229,3)</f>
        <v>MyF</v>
      </c>
      <c r="G229" s="324" t="str">
        <f aca="false">IF(OR('LT records'!$F229="MyF", 'LT records'!$F229="DEP"),"DEP",IF('LT records'!$F229="CSH","CSH",IF('LT records'!$F229="BON","BND",IF('LT records'!$F229="Sma","MKT",IF(OR('LT records'!$F229="Val", 'LT records'!$F229="EUR"),"FCY",IF('LT records'!$F229="X-P","PP3",IF('LT records'!$F229="X-m","XAU","???")))))))</f>
        <v>DEP</v>
      </c>
      <c r="H229" s="325" t="n">
        <v>27</v>
      </c>
      <c r="I229" s="340" t="n">
        <v>1.07</v>
      </c>
      <c r="J229" s="325"/>
      <c r="K229" s="340"/>
      <c r="L229" s="341" t="s">
        <v>395</v>
      </c>
      <c r="M229" s="342" t="str">
        <f aca="false">YEAR('LT records'!$B229)&amp;"-"&amp;MONTH('LT records'!$B229)</f>
        <v>2017-1</v>
      </c>
      <c r="N229" s="343" t="n">
        <f aca="false">'LT records'!$H229+'LT records'!$I229</f>
        <v>28.07</v>
      </c>
      <c r="O229" s="347"/>
      <c r="P229" s="347"/>
      <c r="Q229" s="336"/>
      <c r="R229" s="337"/>
      <c r="T229" s="327"/>
    </row>
    <row r="230" customFormat="false" ht="12.8" hidden="false" customHeight="false" outlineLevel="0" collapsed="false">
      <c r="B230" s="270" t="n">
        <v>42772</v>
      </c>
      <c r="C230" s="348" t="n">
        <f aca="false">YEAR('LT records'!$B230)</f>
        <v>2017</v>
      </c>
      <c r="D230" s="346" t="str">
        <f aca="false">'LT records'!$C230&amp;"-"&amp;MONTH('LT records'!$B230)</f>
        <v>2017-2</v>
      </c>
      <c r="E230" s="324" t="s">
        <v>393</v>
      </c>
      <c r="F230" s="324" t="str">
        <f aca="false">LEFT('LT records'!$E230,3)</f>
        <v>MyF</v>
      </c>
      <c r="G230" s="324" t="str">
        <f aca="false">IF(OR('LT records'!$F230="MyF", 'LT records'!$F230="DEP"),"DEP",IF('LT records'!$F230="CSH","CSH",IF('LT records'!$F230="BON","BND",IF('LT records'!$F230="Sma","MKT",IF(OR('LT records'!$F230="Val", 'LT records'!$F230="EUR"),"FCY",IF('LT records'!$F230="X-P","PP3",IF('LT records'!$F230="X-m","XAU","???")))))))</f>
        <v>DEP</v>
      </c>
      <c r="H230" s="325" t="n">
        <v>1000</v>
      </c>
      <c r="I230" s="340" t="n">
        <v>0.37</v>
      </c>
      <c r="J230" s="325"/>
      <c r="K230" s="340"/>
      <c r="L230" s="341" t="s">
        <v>397</v>
      </c>
      <c r="M230" s="342" t="str">
        <f aca="false">YEAR('LT records'!$B230)&amp;"-"&amp;MONTH('LT records'!$B230)</f>
        <v>2017-2</v>
      </c>
      <c r="N230" s="343" t="n">
        <f aca="false">'LT records'!$H230+'LT records'!$I230</f>
        <v>1000.37</v>
      </c>
      <c r="O230" s="347"/>
      <c r="P230" s="347"/>
      <c r="Q230" s="336"/>
      <c r="R230" s="337"/>
      <c r="T230" s="327"/>
    </row>
    <row r="231" customFormat="false" ht="12.8" hidden="false" customHeight="false" outlineLevel="0" collapsed="false">
      <c r="B231" s="270" t="n">
        <v>42775</v>
      </c>
      <c r="C231" s="348" t="n">
        <f aca="false">YEAR('LT records'!$B231)</f>
        <v>2017</v>
      </c>
      <c r="D231" s="346" t="str">
        <f aca="false">'LT records'!$C231&amp;"-"&amp;MONTH('LT records'!$B231)</f>
        <v>2017-2</v>
      </c>
      <c r="E231" s="324" t="s">
        <v>340</v>
      </c>
      <c r="F231" s="324" t="str">
        <f aca="false">LEFT('LT records'!$E231,3)</f>
        <v>MyF</v>
      </c>
      <c r="G231" s="324" t="str">
        <f aca="false">IF(OR('LT records'!$F231="MyF", 'LT records'!$F231="DEP"),"DEP",IF('LT records'!$F231="CSH","CSH",IF('LT records'!$F231="BON","BND",IF('LT records'!$F231="Sma","MKT",IF(OR('LT records'!$F231="Val", 'LT records'!$F231="EUR"),"FCY",IF('LT records'!$F231="X-P","PP3",IF('LT records'!$F231="X-m","XAU","???")))))))</f>
        <v>DEP</v>
      </c>
      <c r="H231" s="325" t="n">
        <v>1073</v>
      </c>
      <c r="I231" s="340" t="n">
        <f aca="false">1.7-0.27</f>
        <v>1.43</v>
      </c>
      <c r="J231" s="325"/>
      <c r="K231" s="340"/>
      <c r="L231" s="341" t="s">
        <v>398</v>
      </c>
      <c r="M231" s="342" t="str">
        <f aca="false">YEAR('LT records'!$B231)&amp;"-"&amp;MONTH('LT records'!$B231)</f>
        <v>2017-2</v>
      </c>
      <c r="N231" s="343" t="n">
        <f aca="false">'LT records'!$H231+'LT records'!$I231</f>
        <v>1074.43</v>
      </c>
      <c r="O231" s="347"/>
      <c r="P231" s="347"/>
      <c r="Q231" s="336"/>
      <c r="R231" s="337"/>
      <c r="T231" s="327"/>
    </row>
    <row r="232" customFormat="false" ht="12.8" hidden="false" customHeight="false" outlineLevel="0" collapsed="false">
      <c r="B232" s="270" t="n">
        <v>42793</v>
      </c>
      <c r="C232" s="348" t="n">
        <f aca="false">YEAR('LT records'!$B232)</f>
        <v>2017</v>
      </c>
      <c r="D232" s="346" t="str">
        <f aca="false">'LT records'!$C232&amp;"-"&amp;MONTH('LT records'!$B232)</f>
        <v>2017-2</v>
      </c>
      <c r="E232" s="324" t="s">
        <v>367</v>
      </c>
      <c r="F232" s="324" t="str">
        <f aca="false">LEFT('LT records'!$E232,3)</f>
        <v>MyF</v>
      </c>
      <c r="G232" s="324" t="str">
        <f aca="false">IF(OR('LT records'!$F232="MyF", 'LT records'!$F232="DEP"),"DEP",IF('LT records'!$F232="CSH","CSH",IF('LT records'!$F232="BON","BND",IF('LT records'!$F232="Sma","MKT",IF(OR('LT records'!$F232="Val", 'LT records'!$F232="EUR"),"FCY",IF('LT records'!$F232="X-P","PP3",IF('LT records'!$F232="X-m","XAU","???")))))))</f>
        <v>DEP</v>
      </c>
      <c r="H232" s="325" t="n">
        <v>500</v>
      </c>
      <c r="I232" s="340" t="n">
        <v>1.08</v>
      </c>
      <c r="J232" s="325"/>
      <c r="K232" s="340"/>
      <c r="L232" s="341" t="s">
        <v>399</v>
      </c>
      <c r="M232" s="342" t="str">
        <f aca="false">YEAR('LT records'!$B232)&amp;"-"&amp;MONTH('LT records'!$B232)</f>
        <v>2017-2</v>
      </c>
      <c r="N232" s="343" t="n">
        <f aca="false">'LT records'!$H232+'LT records'!$I232</f>
        <v>501.08</v>
      </c>
      <c r="O232" s="347"/>
      <c r="P232" s="347"/>
      <c r="Q232" s="336"/>
      <c r="R232" s="337"/>
      <c r="T232" s="327"/>
    </row>
    <row r="233" customFormat="false" ht="12.8" hidden="false" customHeight="false" outlineLevel="0" collapsed="false">
      <c r="B233" s="270" t="n">
        <v>42800</v>
      </c>
      <c r="C233" s="348" t="n">
        <f aca="false">YEAR('LT records'!$B233)</f>
        <v>2017</v>
      </c>
      <c r="D233" s="346" t="str">
        <f aca="false">'LT records'!$C233&amp;"-"&amp;MONTH('LT records'!$B233)</f>
        <v>2017-3</v>
      </c>
      <c r="E233" s="324" t="s">
        <v>393</v>
      </c>
      <c r="F233" s="324" t="str">
        <f aca="false">LEFT('LT records'!$E233,3)</f>
        <v>MyF</v>
      </c>
      <c r="G233" s="324" t="str">
        <f aca="false">IF(OR('LT records'!$F233="MyF", 'LT records'!$F233="DEP"),"DEP",IF('LT records'!$F233="CSH","CSH",IF('LT records'!$F233="BON","BND",IF('LT records'!$F233="Sma","MKT",IF(OR('LT records'!$F233="Val", 'LT records'!$F233="EUR"),"FCY",IF('LT records'!$F233="X-P","PP3",IF('LT records'!$F233="X-m","XAU","???")))))))</f>
        <v>DEP</v>
      </c>
      <c r="H233" s="325" t="n">
        <v>500</v>
      </c>
      <c r="I233" s="340" t="n">
        <f aca="false">0.77-0.12</f>
        <v>0.65</v>
      </c>
      <c r="J233" s="325"/>
      <c r="K233" s="340"/>
      <c r="L233" s="341" t="s">
        <v>399</v>
      </c>
      <c r="M233" s="342" t="str">
        <f aca="false">YEAR('LT records'!$B233)&amp;"-"&amp;MONTH('LT records'!$B233)</f>
        <v>2017-3</v>
      </c>
      <c r="N233" s="343" t="n">
        <f aca="false">'LT records'!$H233+'LT records'!$I233</f>
        <v>500.65</v>
      </c>
      <c r="O233" s="347"/>
      <c r="P233" s="347"/>
      <c r="Q233" s="336"/>
      <c r="R233" s="337"/>
      <c r="T233" s="327"/>
    </row>
    <row r="234" customFormat="false" ht="12.8" hidden="false" customHeight="false" outlineLevel="0" collapsed="false">
      <c r="B234" s="270" t="n">
        <v>42803</v>
      </c>
      <c r="C234" s="348" t="n">
        <f aca="false">YEAR('LT records'!$B234)</f>
        <v>2017</v>
      </c>
      <c r="D234" s="346" t="str">
        <f aca="false">'LT records'!$C234&amp;"-"&amp;MONTH('LT records'!$B234)</f>
        <v>2017-3</v>
      </c>
      <c r="E234" s="324" t="s">
        <v>340</v>
      </c>
      <c r="F234" s="324" t="str">
        <f aca="false">LEFT('LT records'!$E234,3)</f>
        <v>MyF</v>
      </c>
      <c r="G234" s="324" t="str">
        <f aca="false">IF(OR('LT records'!$F234="MyF", 'LT records'!$F234="DEP"),"DEP",IF('LT records'!$F234="CSH","CSH",IF('LT records'!$F234="BON","BND",IF('LT records'!$F234="Sma","MKT",IF(OR('LT records'!$F234="Val", 'LT records'!$F234="EUR"),"FCY",IF('LT records'!$F234="X-P","PP3",IF('LT records'!$F234="X-m","XAU","???")))))))</f>
        <v>DEP</v>
      </c>
      <c r="H234" s="325" t="n">
        <v>1000</v>
      </c>
      <c r="I234" s="340" t="n">
        <v>1.63</v>
      </c>
      <c r="J234" s="325"/>
      <c r="K234" s="340"/>
      <c r="L234" s="341" t="s">
        <v>370</v>
      </c>
      <c r="M234" s="342" t="str">
        <f aca="false">YEAR('LT records'!$B234)&amp;"-"&amp;MONTH('LT records'!$B234)</f>
        <v>2017-3</v>
      </c>
      <c r="N234" s="343" t="n">
        <f aca="false">'LT records'!$H234+'LT records'!$I234</f>
        <v>1001.63</v>
      </c>
      <c r="O234" s="347"/>
      <c r="P234" s="347"/>
      <c r="Q234" s="336"/>
      <c r="R234" s="337"/>
      <c r="T234" s="327"/>
    </row>
    <row r="235" customFormat="false" ht="12.8" hidden="false" customHeight="false" outlineLevel="0" collapsed="false">
      <c r="B235" s="270" t="n">
        <v>42821</v>
      </c>
      <c r="C235" s="348" t="n">
        <f aca="false">YEAR('LT records'!$B235)</f>
        <v>2017</v>
      </c>
      <c r="D235" s="346" t="str">
        <f aca="false">'LT records'!$C235&amp;"-"&amp;MONTH('LT records'!$B235)</f>
        <v>2017-3</v>
      </c>
      <c r="E235" s="324" t="s">
        <v>367</v>
      </c>
      <c r="F235" s="324" t="str">
        <f aca="false">LEFT('LT records'!$E235,3)</f>
        <v>MyF</v>
      </c>
      <c r="G235" s="324" t="str">
        <f aca="false">IF(OR('LT records'!$F235="MyF", 'LT records'!$F235="DEP"),"DEP",IF('LT records'!$F235="CSH","CSH",IF('LT records'!$F235="BON","BND",IF('LT records'!$F235="Sma","MKT",IF(OR('LT records'!$F235="Val", 'LT records'!$F235="EUR"),"FCY",IF('LT records'!$F235="X-P","PP3",IF('LT records'!$F235="X-m","XAU","???")))))))</f>
        <v>DEP</v>
      </c>
      <c r="H235" s="325" t="n">
        <v>70</v>
      </c>
      <c r="I235" s="340" t="n">
        <v>1.13</v>
      </c>
      <c r="J235" s="325"/>
      <c r="K235" s="340"/>
      <c r="L235" s="341" t="s">
        <v>400</v>
      </c>
      <c r="M235" s="342" t="str">
        <f aca="false">YEAR('LT records'!$B235)&amp;"-"&amp;MONTH('LT records'!$B235)</f>
        <v>2017-3</v>
      </c>
      <c r="N235" s="343" t="n">
        <f aca="false">'LT records'!$H235+'LT records'!$I235</f>
        <v>71.13</v>
      </c>
      <c r="O235" s="347"/>
      <c r="P235" s="347"/>
      <c r="Q235" s="336"/>
      <c r="R235" s="337"/>
      <c r="T235" s="327"/>
    </row>
    <row r="236" customFormat="false" ht="12.8" hidden="false" customHeight="false" outlineLevel="0" collapsed="false">
      <c r="B236" s="270" t="n">
        <v>42831</v>
      </c>
      <c r="C236" s="348" t="n">
        <f aca="false">YEAR('LT records'!$B236)</f>
        <v>2017</v>
      </c>
      <c r="D236" s="346" t="str">
        <f aca="false">'LT records'!$C236&amp;"-"&amp;MONTH('LT records'!$B236)</f>
        <v>2017-4</v>
      </c>
      <c r="E236" s="324" t="s">
        <v>393</v>
      </c>
      <c r="F236" s="324" t="str">
        <f aca="false">LEFT('LT records'!$E236,3)</f>
        <v>MyF</v>
      </c>
      <c r="G236" s="324" t="str">
        <f aca="false">IF(OR('LT records'!$F236="MyF", 'LT records'!$F236="DEP"),"DEP",IF('LT records'!$F236="CSH","CSH",IF('LT records'!$F236="BON","BND",IF('LT records'!$F236="Sma","MKT",IF(OR('LT records'!$F236="Val", 'LT records'!$F236="EUR"),"FCY",IF('LT records'!$F236="X-P","PP3",IF('LT records'!$F236="X-m","XAU","???")))))))</f>
        <v>DEP</v>
      </c>
      <c r="H236" s="325" t="n">
        <v>100</v>
      </c>
      <c r="I236" s="340" t="n">
        <v>0.89</v>
      </c>
      <c r="J236" s="325"/>
      <c r="K236" s="340"/>
      <c r="L236" s="341" t="s">
        <v>369</v>
      </c>
      <c r="M236" s="342" t="str">
        <f aca="false">YEAR('LT records'!$B236)&amp;"-"&amp;MONTH('LT records'!$B236)</f>
        <v>2017-4</v>
      </c>
      <c r="N236" s="343" t="n">
        <f aca="false">'LT records'!$H236+'LT records'!$I236</f>
        <v>100.89</v>
      </c>
      <c r="O236" s="347"/>
      <c r="P236" s="347"/>
      <c r="Q236" s="336"/>
      <c r="R236" s="337"/>
      <c r="T236" s="327"/>
    </row>
    <row r="237" customFormat="false" ht="12.8" hidden="false" customHeight="false" outlineLevel="0" collapsed="false">
      <c r="B237" s="270" t="n">
        <v>42835</v>
      </c>
      <c r="C237" s="348" t="n">
        <f aca="false">YEAR('LT records'!$B237)</f>
        <v>2017</v>
      </c>
      <c r="D237" s="346" t="str">
        <f aca="false">'LT records'!$C237&amp;"-"&amp;MONTH('LT records'!$B237)</f>
        <v>2017-4</v>
      </c>
      <c r="E237" s="324" t="s">
        <v>340</v>
      </c>
      <c r="F237" s="324" t="str">
        <f aca="false">LEFT('LT records'!$E237,3)</f>
        <v>MyF</v>
      </c>
      <c r="G237" s="324" t="str">
        <f aca="false">IF(OR('LT records'!$F237="MyF", 'LT records'!$F237="DEP"),"DEP",IF('LT records'!$F237="CSH","CSH",IF('LT records'!$F237="BON","BND",IF('LT records'!$F237="Sma","MKT",IF(OR('LT records'!$F237="Val", 'LT records'!$F237="EUR"),"FCY",IF('LT records'!$F237="X-P","PP3",IF('LT records'!$F237="X-m","XAU","???")))))))</f>
        <v>DEP</v>
      </c>
      <c r="H237" s="325" t="n">
        <v>2150</v>
      </c>
      <c r="I237" s="340" t="n">
        <v>2.23</v>
      </c>
      <c r="J237" s="325"/>
      <c r="K237" s="340"/>
      <c r="L237" s="341" t="s">
        <v>401</v>
      </c>
      <c r="M237" s="342" t="str">
        <f aca="false">YEAR('LT records'!$B237)&amp;"-"&amp;MONTH('LT records'!$B237)</f>
        <v>2017-4</v>
      </c>
      <c r="N237" s="343" t="n">
        <f aca="false">'LT records'!$H237+'LT records'!$I237</f>
        <v>2152.23</v>
      </c>
      <c r="O237" s="347"/>
      <c r="P237" s="347"/>
      <c r="Q237" s="336"/>
      <c r="R237" s="337"/>
      <c r="T237" s="327"/>
    </row>
    <row r="238" customFormat="false" ht="12.8" hidden="false" customHeight="false" outlineLevel="0" collapsed="false">
      <c r="B238" s="270" t="n">
        <v>42852</v>
      </c>
      <c r="C238" s="348" t="n">
        <f aca="false">YEAR('LT records'!$B238)</f>
        <v>2017</v>
      </c>
      <c r="D238" s="346" t="str">
        <f aca="false">'LT records'!$C238&amp;"-"&amp;MONTH('LT records'!$B238)</f>
        <v>2017-4</v>
      </c>
      <c r="E238" s="324" t="s">
        <v>367</v>
      </c>
      <c r="F238" s="324" t="str">
        <f aca="false">LEFT('LT records'!$E238,3)</f>
        <v>MyF</v>
      </c>
      <c r="G238" s="324" t="str">
        <f aca="false">IF(OR('LT records'!$F238="MyF", 'LT records'!$F238="DEP"),"DEP",IF('LT records'!$F238="CSH","CSH",IF('LT records'!$F238="BON","BND",IF('LT records'!$F238="Sma","MKT",IF(OR('LT records'!$F238="Val", 'LT records'!$F238="EUR"),"FCY",IF('LT records'!$F238="X-P","PP3",IF('LT records'!$F238="X-m","XAU","???")))))))</f>
        <v>DEP</v>
      </c>
      <c r="H238" s="325" t="n">
        <v>41</v>
      </c>
      <c r="I238" s="340" t="n">
        <v>1.29</v>
      </c>
      <c r="J238" s="325"/>
      <c r="K238" s="340"/>
      <c r="L238" s="341" t="s">
        <v>369</v>
      </c>
      <c r="M238" s="342" t="str">
        <f aca="false">YEAR('LT records'!$B238)&amp;"-"&amp;MONTH('LT records'!$B238)</f>
        <v>2017-4</v>
      </c>
      <c r="N238" s="343" t="n">
        <f aca="false">'LT records'!$H238+'LT records'!$I238</f>
        <v>42.29</v>
      </c>
      <c r="O238" s="347"/>
      <c r="P238" s="347"/>
      <c r="Q238" s="336"/>
      <c r="R238" s="337"/>
      <c r="T238" s="327"/>
    </row>
    <row r="239" customFormat="false" ht="12.8" hidden="false" customHeight="false" outlineLevel="0" collapsed="false">
      <c r="B239" s="270" t="n">
        <v>42852</v>
      </c>
      <c r="C239" s="348" t="n">
        <f aca="false">YEAR('LT records'!$B239)</f>
        <v>2017</v>
      </c>
      <c r="D239" s="346" t="str">
        <f aca="false">'LT records'!$C239&amp;"-"&amp;MONTH('LT records'!$B239)</f>
        <v>2017-4</v>
      </c>
      <c r="E239" s="324" t="s">
        <v>355</v>
      </c>
      <c r="F239" s="324" t="str">
        <f aca="false">LEFT('LT records'!$E239,3)</f>
        <v>MyF</v>
      </c>
      <c r="G239" s="324" t="str">
        <f aca="false">IF(OR('LT records'!$F239="MyF", 'LT records'!$F239="DEP"),"DEP",IF('LT records'!$F239="CSH","CSH",IF('LT records'!$F239="BON","BND",IF('LT records'!$F239="Sma","MKT",IF(OR('LT records'!$F239="Val", 'LT records'!$F239="EUR"),"FCY",IF('LT records'!$F239="X-P","PP3",IF('LT records'!$F239="X-m","XAU","???")))))))</f>
        <v>DEP</v>
      </c>
      <c r="H239" s="325" t="n">
        <v>0</v>
      </c>
      <c r="I239" s="340" t="n">
        <f aca="false">66.11-10.58</f>
        <v>55.53</v>
      </c>
      <c r="J239" s="325"/>
      <c r="K239" s="340"/>
      <c r="L239" s="341" t="s">
        <v>402</v>
      </c>
      <c r="M239" s="342" t="str">
        <f aca="false">YEAR('LT records'!$B239)&amp;"-"&amp;MONTH('LT records'!$B239)</f>
        <v>2017-4</v>
      </c>
      <c r="N239" s="343" t="n">
        <f aca="false">'LT records'!$H239+'LT records'!$I239</f>
        <v>55.53</v>
      </c>
      <c r="O239" s="347"/>
      <c r="P239" s="347"/>
      <c r="Q239" s="336"/>
      <c r="R239" s="337"/>
      <c r="T239" s="327"/>
    </row>
    <row r="240" customFormat="false" ht="12.8" hidden="false" customHeight="false" outlineLevel="0" collapsed="false">
      <c r="B240" s="270" t="n">
        <v>42863</v>
      </c>
      <c r="C240" s="348" t="n">
        <f aca="false">YEAR('LT records'!$B240)</f>
        <v>2017</v>
      </c>
      <c r="D240" s="346" t="str">
        <f aca="false">'LT records'!$C240&amp;"-"&amp;MONTH('LT records'!$B240)</f>
        <v>2017-5</v>
      </c>
      <c r="E240" s="324" t="s">
        <v>393</v>
      </c>
      <c r="F240" s="324" t="str">
        <f aca="false">LEFT('LT records'!$E240,3)</f>
        <v>MyF</v>
      </c>
      <c r="G240" s="324" t="str">
        <f aca="false">IF(OR('LT records'!$F240="MyF", 'LT records'!$F240="DEP"),"DEP",IF('LT records'!$F240="CSH","CSH",IF('LT records'!$F240="BON","BND",IF('LT records'!$F240="Sma","MKT",IF(OR('LT records'!$F240="Val", 'LT records'!$F240="EUR"),"FCY",IF('LT records'!$F240="X-P","PP3",IF('LT records'!$F240="X-m","XAU","???")))))))</f>
        <v>DEP</v>
      </c>
      <c r="H240" s="325" t="n">
        <v>400</v>
      </c>
      <c r="I240" s="340" t="n">
        <f aca="false">1.14-0.18</f>
        <v>0.96</v>
      </c>
      <c r="J240" s="325"/>
      <c r="K240" s="340"/>
      <c r="L240" s="341" t="s">
        <v>403</v>
      </c>
      <c r="M240" s="342" t="str">
        <f aca="false">YEAR('LT records'!$B240)&amp;"-"&amp;MONTH('LT records'!$B240)</f>
        <v>2017-5</v>
      </c>
      <c r="N240" s="343" t="n">
        <f aca="false">'LT records'!$H240+'LT records'!$I240</f>
        <v>400.96</v>
      </c>
      <c r="O240" s="347"/>
      <c r="P240" s="347"/>
      <c r="Q240" s="336"/>
      <c r="R240" s="337"/>
      <c r="T240" s="327"/>
    </row>
    <row r="241" customFormat="false" ht="12.8" hidden="false" customHeight="false" outlineLevel="0" collapsed="false">
      <c r="B241" s="270" t="n">
        <v>42865</v>
      </c>
      <c r="C241" s="348" t="n">
        <f aca="false">YEAR('LT records'!$B241)</f>
        <v>2017</v>
      </c>
      <c r="D241" s="346" t="str">
        <f aca="false">'LT records'!$C241&amp;"-"&amp;MONTH('LT records'!$B241)</f>
        <v>2017-5</v>
      </c>
      <c r="E241" s="324" t="s">
        <v>340</v>
      </c>
      <c r="F241" s="324" t="str">
        <f aca="false">LEFT('LT records'!$E241,3)</f>
        <v>MyF</v>
      </c>
      <c r="G241" s="324" t="str">
        <f aca="false">IF(OR('LT records'!$F241="MyF", 'LT records'!$F241="DEP"),"DEP",IF('LT records'!$F241="CSH","CSH",IF('LT records'!$F241="BON","BND",IF('LT records'!$F241="Sma","MKT",IF(OR('LT records'!$F241="Val", 'LT records'!$F241="EUR"),"FCY",IF('LT records'!$F241="X-P","PP3",IF('LT records'!$F241="X-m","XAU","???")))))))</f>
        <v>DEP</v>
      </c>
      <c r="H241" s="325" t="n">
        <v>2000</v>
      </c>
      <c r="I241" s="340" t="n">
        <v>2.84</v>
      </c>
      <c r="J241" s="325"/>
      <c r="K241" s="340"/>
      <c r="L241" s="341" t="s">
        <v>404</v>
      </c>
      <c r="M241" s="342" t="str">
        <f aca="false">YEAR('LT records'!$B241)&amp;"-"&amp;MONTH('LT records'!$B241)</f>
        <v>2017-5</v>
      </c>
      <c r="N241" s="343" t="n">
        <f aca="false">'LT records'!$H241+'LT records'!$I241</f>
        <v>2002.84</v>
      </c>
      <c r="O241" s="347"/>
      <c r="P241" s="347"/>
      <c r="Q241" s="336"/>
      <c r="R241" s="337"/>
      <c r="T241" s="327"/>
    </row>
    <row r="242" customFormat="false" ht="12.8" hidden="false" customHeight="false" outlineLevel="0" collapsed="false">
      <c r="B242" s="270" t="n">
        <v>42873</v>
      </c>
      <c r="C242" s="348" t="n">
        <f aca="false">YEAR('LT records'!$B242)</f>
        <v>2017</v>
      </c>
      <c r="D242" s="346" t="str">
        <f aca="false">'LT records'!$C242&amp;"-"&amp;MONTH('LT records'!$B242)</f>
        <v>2017-5</v>
      </c>
      <c r="E242" s="324" t="s">
        <v>393</v>
      </c>
      <c r="F242" s="324" t="str">
        <f aca="false">LEFT('LT records'!$E242,3)</f>
        <v>MyF</v>
      </c>
      <c r="G242" s="324" t="str">
        <f aca="false">IF(OR('LT records'!$F242="MyF", 'LT records'!$F242="DEP"),"DEP",IF('LT records'!$F242="CSH","CSH",IF('LT records'!$F242="BON","BND",IF('LT records'!$F242="Sma","MKT",IF(OR('LT records'!$F242="Val", 'LT records'!$F242="EUR"),"FCY",IF('LT records'!$F242="X-P","PP3",IF('LT records'!$F242="X-m","XAU","???")))))))</f>
        <v>DEP</v>
      </c>
      <c r="H242" s="325" t="n">
        <v>2000</v>
      </c>
      <c r="I242" s="340"/>
      <c r="J242" s="325"/>
      <c r="K242" s="340"/>
      <c r="L242" s="341" t="s">
        <v>405</v>
      </c>
      <c r="M242" s="342" t="str">
        <f aca="false">YEAR('LT records'!$B242)&amp;"-"&amp;MONTH('LT records'!$B242)</f>
        <v>2017-5</v>
      </c>
      <c r="N242" s="343" t="n">
        <f aca="false">'LT records'!$H242+'LT records'!$I242</f>
        <v>2000</v>
      </c>
      <c r="O242" s="347"/>
      <c r="P242" s="347"/>
      <c r="Q242" s="336"/>
      <c r="R242" s="337"/>
      <c r="T242" s="327"/>
    </row>
    <row r="243" customFormat="false" ht="12.8" hidden="false" customHeight="false" outlineLevel="0" collapsed="false">
      <c r="B243" s="270" t="n">
        <v>42878</v>
      </c>
      <c r="C243" s="348" t="n">
        <f aca="false">YEAR('LT records'!$B243)</f>
        <v>2017</v>
      </c>
      <c r="D243" s="346" t="str">
        <f aca="false">'LT records'!$C243&amp;"-"&amp;MONTH('LT records'!$B243)</f>
        <v>2017-5</v>
      </c>
      <c r="E243" s="324" t="s">
        <v>344</v>
      </c>
      <c r="F243" s="324" t="str">
        <f aca="false">LEFT('LT records'!$E243,3)</f>
        <v>MyF</v>
      </c>
      <c r="G243" s="324" t="str">
        <f aca="false">IF(OR('LT records'!$F243="MyF", 'LT records'!$F243="DEP"),"DEP",IF('LT records'!$F243="CSH","CSH",IF('LT records'!$F243="BON","BND",IF('LT records'!$F243="Sma","MKT",IF(OR('LT records'!$F243="Val", 'LT records'!$F243="EUR"),"FCY",IF('LT records'!$F243="X-P","PP3",IF('LT records'!$F243="X-m","XAU","???")))))))</f>
        <v>DEP</v>
      </c>
      <c r="H243" s="325" t="n">
        <v>0</v>
      </c>
      <c r="I243" s="340" t="n">
        <f aca="false">67.35-10.78</f>
        <v>56.57</v>
      </c>
      <c r="J243" s="325"/>
      <c r="K243" s="340"/>
      <c r="L243" s="341" t="s">
        <v>406</v>
      </c>
      <c r="M243" s="342" t="str">
        <f aca="false">YEAR('LT records'!$B243)&amp;"-"&amp;MONTH('LT records'!$B243)</f>
        <v>2017-5</v>
      </c>
      <c r="N243" s="343" t="n">
        <f aca="false">'LT records'!$H243+'LT records'!$I243</f>
        <v>56.57</v>
      </c>
      <c r="O243" s="347"/>
      <c r="P243" s="347"/>
      <c r="Q243" s="336"/>
      <c r="R243" s="337"/>
      <c r="T243" s="327"/>
    </row>
    <row r="244" customFormat="false" ht="12.8" hidden="false" customHeight="false" outlineLevel="0" collapsed="false">
      <c r="B244" s="270" t="n">
        <v>42884</v>
      </c>
      <c r="C244" s="348" t="n">
        <f aca="false">YEAR('LT records'!$B244)</f>
        <v>2017</v>
      </c>
      <c r="D244" s="346" t="str">
        <f aca="false">'LT records'!$C244&amp;"-"&amp;MONTH('LT records'!$B244)</f>
        <v>2017-5</v>
      </c>
      <c r="E244" s="324" t="s">
        <v>337</v>
      </c>
      <c r="F244" s="324" t="str">
        <f aca="false">LEFT('LT records'!$E244,3)</f>
        <v>MyF</v>
      </c>
      <c r="G244" s="324" t="str">
        <f aca="false">IF(OR('LT records'!$F244="MyF", 'LT records'!$F244="DEP"),"DEP",IF('LT records'!$F244="CSH","CSH",IF('LT records'!$F244="BON","BND",IF('LT records'!$F244="Sma","MKT",IF(OR('LT records'!$F244="Val", 'LT records'!$F244="EUR"),"FCY",IF('LT records'!$F244="X-P","PP3",IF('LT records'!$F244="X-m","XAU","???")))))))</f>
        <v>DEP</v>
      </c>
      <c r="H244" s="325" t="n">
        <v>0</v>
      </c>
      <c r="I244" s="340" t="n">
        <f aca="false">67.33-10.77</f>
        <v>56.56</v>
      </c>
      <c r="J244" s="325"/>
      <c r="K244" s="340"/>
      <c r="L244" s="341" t="s">
        <v>406</v>
      </c>
      <c r="M244" s="342" t="str">
        <f aca="false">YEAR('LT records'!$B244)&amp;"-"&amp;MONTH('LT records'!$B244)</f>
        <v>2017-5</v>
      </c>
      <c r="N244" s="343" t="n">
        <f aca="false">'LT records'!$H244+'LT records'!$I244</f>
        <v>56.56</v>
      </c>
      <c r="O244" s="347"/>
      <c r="P244" s="347"/>
      <c r="Q244" s="336"/>
      <c r="R244" s="337"/>
      <c r="T244" s="327"/>
    </row>
    <row r="245" customFormat="false" ht="12.8" hidden="false" customHeight="false" outlineLevel="0" collapsed="false">
      <c r="B245" s="270" t="n">
        <v>42884</v>
      </c>
      <c r="C245" s="348" t="n">
        <f aca="false">YEAR('LT records'!$B245)</f>
        <v>2017</v>
      </c>
      <c r="D245" s="346" t="str">
        <f aca="false">'LT records'!$C245&amp;"-"&amp;MONTH('LT records'!$B245)</f>
        <v>2017-5</v>
      </c>
      <c r="E245" s="324" t="s">
        <v>367</v>
      </c>
      <c r="F245" s="324" t="str">
        <f aca="false">LEFT('LT records'!$E245,3)</f>
        <v>MyF</v>
      </c>
      <c r="G245" s="324" t="str">
        <f aca="false">IF(OR('LT records'!$F245="MyF", 'LT records'!$F245="DEP"),"DEP",IF('LT records'!$F245="CSH","CSH",IF('LT records'!$F245="BON","BND",IF('LT records'!$F245="Sma","MKT",IF(OR('LT records'!$F245="Val", 'LT records'!$F245="EUR"),"FCY",IF('LT records'!$F245="X-P","PP3",IF('LT records'!$F245="X-m","XAU","???")))))))</f>
        <v>DEP</v>
      </c>
      <c r="H245" s="325" t="n">
        <v>0</v>
      </c>
      <c r="I245" s="340" t="n">
        <v>1.34</v>
      </c>
      <c r="J245" s="325"/>
      <c r="K245" s="340"/>
      <c r="L245" s="341" t="s">
        <v>369</v>
      </c>
      <c r="M245" s="342" t="str">
        <f aca="false">YEAR('LT records'!$B245)&amp;"-"&amp;MONTH('LT records'!$B245)</f>
        <v>2017-5</v>
      </c>
      <c r="N245" s="343" t="n">
        <f aca="false">'LT records'!$H245+'LT records'!$I245</f>
        <v>1.34</v>
      </c>
      <c r="O245" s="347"/>
      <c r="P245" s="347"/>
      <c r="Q245" s="336"/>
      <c r="R245" s="337"/>
      <c r="T245" s="327"/>
    </row>
    <row r="246" customFormat="false" ht="12.8" hidden="false" customHeight="false" outlineLevel="0" collapsed="false">
      <c r="B246" s="270" t="n">
        <v>42894</v>
      </c>
      <c r="C246" s="348" t="n">
        <f aca="false">YEAR('LT records'!$B246)</f>
        <v>2017</v>
      </c>
      <c r="D246" s="346" t="str">
        <f aca="false">'LT records'!$C246&amp;"-"&amp;MONTH('LT records'!$B246)</f>
        <v>2017-6</v>
      </c>
      <c r="E246" s="324" t="s">
        <v>393</v>
      </c>
      <c r="F246" s="324" t="str">
        <f aca="false">LEFT('LT records'!$E246,3)</f>
        <v>MyF</v>
      </c>
      <c r="G246" s="324" t="str">
        <f aca="false">IF(OR('LT records'!$F246="MyF", 'LT records'!$F246="DEP"),"DEP",IF('LT records'!$F246="CSH","CSH",IF('LT records'!$F246="BON","BND",IF('LT records'!$F246="Sma","MKT",IF(OR('LT records'!$F246="Val", 'LT records'!$F246="EUR"),"FCY",IF('LT records'!$F246="X-P","PP3",IF('LT records'!$F246="X-m","XAU","???")))))))</f>
        <v>DEP</v>
      </c>
      <c r="H246" s="325" t="n">
        <v>0</v>
      </c>
      <c r="I246" s="340" t="n">
        <v>1.08</v>
      </c>
      <c r="J246" s="325"/>
      <c r="K246" s="340"/>
      <c r="L246" s="341" t="s">
        <v>369</v>
      </c>
      <c r="M246" s="342" t="str">
        <f aca="false">YEAR('LT records'!$B246)&amp;"-"&amp;MONTH('LT records'!$B246)</f>
        <v>2017-6</v>
      </c>
      <c r="N246" s="343" t="n">
        <f aca="false">'LT records'!$H246+'LT records'!$I246</f>
        <v>1.08</v>
      </c>
      <c r="O246" s="347"/>
      <c r="P246" s="347"/>
      <c r="Q246" s="336"/>
      <c r="R246" s="337"/>
      <c r="T246" s="327"/>
    </row>
    <row r="247" customFormat="false" ht="12.8" hidden="false" customHeight="false" outlineLevel="0" collapsed="false">
      <c r="B247" s="270" t="n">
        <v>42905</v>
      </c>
      <c r="C247" s="348" t="n">
        <f aca="false">YEAR('LT records'!$B247)</f>
        <v>2017</v>
      </c>
      <c r="D247" s="346" t="str">
        <f aca="false">'LT records'!$C247&amp;"-"&amp;MONTH('LT records'!$B247)</f>
        <v>2017-6</v>
      </c>
      <c r="E247" s="324" t="s">
        <v>393</v>
      </c>
      <c r="F247" s="324" t="str">
        <f aca="false">LEFT('LT records'!$E247,3)</f>
        <v>MyF</v>
      </c>
      <c r="G247" s="324" t="str">
        <f aca="false">IF(OR('LT records'!$F247="MyF", 'LT records'!$F247="DEP"),"DEP",IF('LT records'!$F247="CSH","CSH",IF('LT records'!$F247="BON","BND",IF('LT records'!$F247="Sma","MKT",IF(OR('LT records'!$F247="Val", 'LT records'!$F247="EUR"),"FCY",IF('LT records'!$F247="X-P","PP3",IF('LT records'!$F247="X-m","XAU","???")))))))</f>
        <v>DEP</v>
      </c>
      <c r="H247" s="325" t="n">
        <v>0</v>
      </c>
      <c r="I247" s="340" t="n">
        <v>0.74</v>
      </c>
      <c r="J247" s="325"/>
      <c r="K247" s="340"/>
      <c r="L247" s="341" t="s">
        <v>369</v>
      </c>
      <c r="M247" s="342" t="str">
        <f aca="false">YEAR('LT records'!$B247)&amp;"-"&amp;MONTH('LT records'!$B247)</f>
        <v>2017-6</v>
      </c>
      <c r="N247" s="343" t="n">
        <f aca="false">'LT records'!$H247+'LT records'!$I247</f>
        <v>0.74</v>
      </c>
      <c r="O247" s="347"/>
      <c r="P247" s="347"/>
      <c r="Q247" s="336"/>
      <c r="R247" s="337"/>
      <c r="T247" s="327"/>
    </row>
    <row r="248" customFormat="false" ht="12.8" hidden="false" customHeight="false" outlineLevel="0" collapsed="false">
      <c r="B248" s="270" t="n">
        <v>42906</v>
      </c>
      <c r="C248" s="348" t="n">
        <f aca="false">YEAR('LT records'!$B248)</f>
        <v>2017</v>
      </c>
      <c r="D248" s="346" t="str">
        <f aca="false">'LT records'!$C248&amp;"-"&amp;MONTH('LT records'!$B248)</f>
        <v>2017-6</v>
      </c>
      <c r="E248" s="324" t="s">
        <v>372</v>
      </c>
      <c r="F248" s="324" t="str">
        <f aca="false">LEFT('LT records'!$E248,3)</f>
        <v>BCR</v>
      </c>
      <c r="G248" s="324" t="s">
        <v>373</v>
      </c>
      <c r="H248" s="325" t="n">
        <v>-10000</v>
      </c>
      <c r="I248" s="340"/>
      <c r="J248" s="325"/>
      <c r="K248" s="340"/>
      <c r="L248" s="341" t="s">
        <v>407</v>
      </c>
      <c r="M248" s="342" t="str">
        <f aca="false">YEAR('LT records'!$B248)&amp;"-"&amp;MONTH('LT records'!$B248)</f>
        <v>2017-6</v>
      </c>
      <c r="N248" s="343" t="n">
        <f aca="false">'LT records'!$H248+'LT records'!$I248</f>
        <v>-10000</v>
      </c>
      <c r="O248" s="347"/>
      <c r="P248" s="347"/>
      <c r="Q248" s="336"/>
      <c r="R248" s="337"/>
      <c r="T248" s="327"/>
    </row>
    <row r="249" customFormat="false" ht="12.8" hidden="false" customHeight="false" outlineLevel="0" collapsed="false">
      <c r="B249" s="270" t="n">
        <v>42907</v>
      </c>
      <c r="C249" s="348" t="n">
        <f aca="false">YEAR('LT records'!$B249)</f>
        <v>2017</v>
      </c>
      <c r="D249" s="346" t="str">
        <f aca="false">'LT records'!$C249&amp;"-"&amp;MONTH('LT records'!$B249)</f>
        <v>2017-6</v>
      </c>
      <c r="E249" s="324" t="s">
        <v>360</v>
      </c>
      <c r="F249" s="324" t="str">
        <f aca="false">LEFT('LT records'!$E249,3)</f>
        <v>MyF</v>
      </c>
      <c r="G249" s="324" t="str">
        <f aca="false">IF(OR('LT records'!$F249="MyF", 'LT records'!$F249="DEP"),"DEP",IF('LT records'!$F249="CSH","CSH",IF('LT records'!$F249="BON","BND",IF('LT records'!$F249="Sma","MKT",IF(OR('LT records'!$F249="Val", 'LT records'!$F249="EUR"),"FCY",IF('LT records'!$F249="X-P","PP3",IF('LT records'!$F249="X-m","XAU","???")))))))</f>
        <v>DEP</v>
      </c>
      <c r="H249" s="325" t="n">
        <v>0</v>
      </c>
      <c r="I249" s="340" t="n">
        <v>54.78</v>
      </c>
      <c r="J249" s="325"/>
      <c r="K249" s="340"/>
      <c r="L249" s="341" t="s">
        <v>408</v>
      </c>
      <c r="M249" s="342" t="str">
        <f aca="false">YEAR('LT records'!$B249)&amp;"-"&amp;MONTH('LT records'!$B249)</f>
        <v>2017-6</v>
      </c>
      <c r="N249" s="343" t="n">
        <f aca="false">'LT records'!$H249+'LT records'!$I249</f>
        <v>54.78</v>
      </c>
      <c r="O249" s="347"/>
      <c r="P249" s="347"/>
      <c r="Q249" s="336"/>
      <c r="R249" s="337"/>
      <c r="T249" s="327"/>
    </row>
    <row r="250" customFormat="false" ht="12.8" hidden="false" customHeight="false" outlineLevel="0" collapsed="false">
      <c r="B250" s="270" t="n">
        <v>42907</v>
      </c>
      <c r="C250" s="348" t="n">
        <f aca="false">YEAR('LT records'!$B250)</f>
        <v>2017</v>
      </c>
      <c r="D250" s="346" t="str">
        <f aca="false">'LT records'!$C250&amp;"-"&amp;MONTH('LT records'!$B250)</f>
        <v>2017-6</v>
      </c>
      <c r="E250" s="324" t="s">
        <v>409</v>
      </c>
      <c r="F250" s="324" t="str">
        <f aca="false">LEFT('LT records'!$E250,3)</f>
        <v>MyF</v>
      </c>
      <c r="G250" s="324" t="str">
        <f aca="false">IF(OR('LT records'!$F250="MyF", 'LT records'!$F250="DEP"),"DEP",IF('LT records'!$F250="CSH","CSH",IF('LT records'!$F250="BON","BND",IF('LT records'!$F250="Sma","MKT",IF(OR('LT records'!$F250="Val", 'LT records'!$F250="EUR"),"FCY",IF('LT records'!$F250="X-P","PP3",IF('LT records'!$F250="X-m","XAU","???")))))))</f>
        <v>DEP</v>
      </c>
      <c r="H250" s="325" t="n">
        <v>10009.44</v>
      </c>
      <c r="I250" s="340"/>
      <c r="J250" s="325"/>
      <c r="K250" s="340"/>
      <c r="L250" s="341" t="s">
        <v>410</v>
      </c>
      <c r="M250" s="342" t="str">
        <f aca="false">YEAR('LT records'!$B250)&amp;"-"&amp;MONTH('LT records'!$B250)</f>
        <v>2017-6</v>
      </c>
      <c r="N250" s="343" t="n">
        <f aca="false">'LT records'!$H250+'LT records'!$I250</f>
        <v>10009.44</v>
      </c>
      <c r="O250" s="347"/>
      <c r="P250" s="347"/>
      <c r="Q250" s="336"/>
      <c r="R250" s="337"/>
      <c r="T250" s="327"/>
    </row>
    <row r="251" customFormat="false" ht="12.8" hidden="false" customHeight="false" outlineLevel="0" collapsed="false">
      <c r="B251" s="270" t="n">
        <v>42909</v>
      </c>
      <c r="C251" s="348" t="n">
        <f aca="false">YEAR('LT records'!$B251)</f>
        <v>2017</v>
      </c>
      <c r="D251" s="346" t="str">
        <f aca="false">'LT records'!$C251&amp;"-"&amp;MONTH('LT records'!$B251)</f>
        <v>2017-6</v>
      </c>
      <c r="E251" s="324" t="s">
        <v>322</v>
      </c>
      <c r="F251" s="324" t="str">
        <f aca="false">LEFT('LT records'!$E251,3)</f>
        <v>X-m</v>
      </c>
      <c r="G251" s="324" t="str">
        <f aca="false">IF(OR('LT records'!$F251="MyF", 'LT records'!$F251="DEP"),"DEP",IF('LT records'!$F251="CSH","CSH",IF('LT records'!$F251="BON","BND",IF('LT records'!$F251="Sma","MKT",IF(OR('LT records'!$F251="Val", 'LT records'!$F251="EUR"),"FCY",IF('LT records'!$F251="X-P","PP3",IF('LT records'!$F251="X-m","XAU","???")))))))</f>
        <v>XAU</v>
      </c>
      <c r="H251" s="325" t="n">
        <v>1132</v>
      </c>
      <c r="I251" s="340"/>
      <c r="J251" s="325"/>
      <c r="K251" s="340"/>
      <c r="L251" s="341" t="s">
        <v>410</v>
      </c>
      <c r="M251" s="342" t="str">
        <f aca="false">YEAR('LT records'!$B251)&amp;"-"&amp;MONTH('LT records'!$B251)</f>
        <v>2017-6</v>
      </c>
      <c r="N251" s="343" t="n">
        <f aca="false">'LT records'!$H251+'LT records'!$I251</f>
        <v>1132</v>
      </c>
      <c r="O251" s="347"/>
      <c r="P251" s="347"/>
      <c r="Q251" s="336"/>
      <c r="R251" s="337"/>
      <c r="T251" s="327"/>
    </row>
    <row r="252" customFormat="false" ht="12.8" hidden="false" customHeight="false" outlineLevel="0" collapsed="false">
      <c r="B252" s="270" t="n">
        <v>42915</v>
      </c>
      <c r="C252" s="348" t="n">
        <f aca="false">YEAR('LT records'!$B252)</f>
        <v>2017</v>
      </c>
      <c r="D252" s="346" t="str">
        <f aca="false">'LT records'!$C252&amp;"-"&amp;MONTH('LT records'!$B252)</f>
        <v>2017-6</v>
      </c>
      <c r="E252" s="324" t="s">
        <v>367</v>
      </c>
      <c r="F252" s="324" t="str">
        <f aca="false">LEFT('LT records'!$E252,3)</f>
        <v>MyF</v>
      </c>
      <c r="G252" s="324" t="str">
        <f aca="false">IF(OR('LT records'!$F252="MyF", 'LT records'!$F252="DEP"),"DEP",IF('LT records'!$F252="CSH","CSH",IF('LT records'!$F252="BON","BND",IF('LT records'!$F252="Sma","MKT",IF(OR('LT records'!$F252="Val", 'LT records'!$F252="EUR"),"FCY",IF('LT records'!$F252="X-P","PP3",IF('LT records'!$F252="X-m","XAU","???")))))))</f>
        <v>DEP</v>
      </c>
      <c r="H252" s="325" t="n">
        <v>0</v>
      </c>
      <c r="I252" s="340" t="n">
        <v>1.3</v>
      </c>
      <c r="J252" s="325"/>
      <c r="K252" s="340"/>
      <c r="L252" s="341" t="s">
        <v>410</v>
      </c>
      <c r="M252" s="342" t="str">
        <f aca="false">YEAR('LT records'!$B252)&amp;"-"&amp;MONTH('LT records'!$B252)</f>
        <v>2017-6</v>
      </c>
      <c r="N252" s="343" t="n">
        <f aca="false">'LT records'!$H252+'LT records'!$I252</f>
        <v>1.3</v>
      </c>
      <c r="O252" s="347"/>
      <c r="P252" s="347"/>
      <c r="Q252" s="336"/>
      <c r="R252" s="337"/>
      <c r="T252" s="327"/>
    </row>
    <row r="253" customFormat="false" ht="12.8" hidden="false" customHeight="false" outlineLevel="0" collapsed="false">
      <c r="B253" s="270" t="n">
        <v>42915</v>
      </c>
      <c r="C253" s="348" t="n">
        <f aca="false">YEAR('LT records'!$B253)</f>
        <v>2017</v>
      </c>
      <c r="D253" s="346" t="str">
        <f aca="false">'LT records'!$C253&amp;"-"&amp;MONTH('LT records'!$B253)</f>
        <v>2017-6</v>
      </c>
      <c r="E253" s="324" t="s">
        <v>322</v>
      </c>
      <c r="F253" s="324" t="str">
        <f aca="false">LEFT('LT records'!$E253,3)</f>
        <v>X-m</v>
      </c>
      <c r="G253" s="324" t="str">
        <f aca="false">IF(OR('LT records'!$F253="MyF", 'LT records'!$F253="DEP"),"DEP",IF('LT records'!$F253="CSH","CSH",IF('LT records'!$F253="BON","BND",IF('LT records'!$F253="Sma","MKT",IF(OR('LT records'!$F253="Val", 'LT records'!$F253="EUR"),"FCY",IF('LT records'!$F253="X-P","PP3",IF('LT records'!$F253="X-m","XAU","???")))))))</f>
        <v>XAU</v>
      </c>
      <c r="H253" s="325" t="n">
        <v>2718</v>
      </c>
      <c r="I253" s="340"/>
      <c r="J253" s="325"/>
      <c r="K253" s="340"/>
      <c r="L253" s="341" t="s">
        <v>411</v>
      </c>
      <c r="M253" s="342" t="str">
        <f aca="false">YEAR('LT records'!$B253)&amp;"-"&amp;MONTH('LT records'!$B253)</f>
        <v>2017-6</v>
      </c>
      <c r="N253" s="343" t="n">
        <f aca="false">'LT records'!$H253+'LT records'!$I253</f>
        <v>2718</v>
      </c>
      <c r="O253" s="347"/>
      <c r="P253" s="347"/>
      <c r="Q253" s="336"/>
      <c r="R253" s="337"/>
      <c r="T253" s="327"/>
    </row>
    <row r="254" customFormat="false" ht="12.8" hidden="false" customHeight="false" outlineLevel="0" collapsed="false">
      <c r="B254" s="270" t="n">
        <v>42916</v>
      </c>
      <c r="C254" s="348" t="n">
        <f aca="false">YEAR('LT records'!$B254)</f>
        <v>2017</v>
      </c>
      <c r="D254" s="346" t="str">
        <f aca="false">'LT records'!$C254&amp;"-"&amp;MONTH('LT records'!$B254)</f>
        <v>2017-6</v>
      </c>
      <c r="E254" s="324" t="s">
        <v>367</v>
      </c>
      <c r="F254" s="324" t="str">
        <f aca="false">LEFT('LT records'!$E254,3)</f>
        <v>MyF</v>
      </c>
      <c r="G254" s="324" t="str">
        <f aca="false">IF(OR('LT records'!$F254="MyF", 'LT records'!$F254="DEP"),"DEP",IF('LT records'!$F254="CSH","CSH",IF('LT records'!$F254="BON","BND",IF('LT records'!$F254="Sma","MKT",IF(OR('LT records'!$F254="Val", 'LT records'!$F254="EUR"),"FCY",IF('LT records'!$F254="X-P","PP3",IF('LT records'!$F254="X-m","XAU","???")))))))</f>
        <v>DEP</v>
      </c>
      <c r="H254" s="325" t="n">
        <v>-2350</v>
      </c>
      <c r="I254" s="340"/>
      <c r="J254" s="325"/>
      <c r="K254" s="340"/>
      <c r="L254" s="341" t="s">
        <v>411</v>
      </c>
      <c r="M254" s="342" t="str">
        <f aca="false">YEAR('LT records'!$B254)&amp;"-"&amp;MONTH('LT records'!$B254)</f>
        <v>2017-6</v>
      </c>
      <c r="N254" s="343" t="n">
        <f aca="false">'LT records'!$H254+'LT records'!$I254</f>
        <v>-2350</v>
      </c>
      <c r="O254" s="347"/>
      <c r="P254" s="347"/>
      <c r="Q254" s="336"/>
      <c r="R254" s="337"/>
      <c r="T254" s="327"/>
    </row>
    <row r="255" customFormat="false" ht="12.8" hidden="false" customHeight="false" outlineLevel="0" collapsed="false">
      <c r="B255" s="270" t="n">
        <v>42926</v>
      </c>
      <c r="C255" s="348" t="n">
        <f aca="false">YEAR('LT records'!$B255)</f>
        <v>2017</v>
      </c>
      <c r="D255" s="346" t="str">
        <f aca="false">'LT records'!$C255&amp;"-"&amp;MONTH('LT records'!$B255)</f>
        <v>2017-7</v>
      </c>
      <c r="E255" s="324" t="s">
        <v>393</v>
      </c>
      <c r="F255" s="324" t="str">
        <f aca="false">LEFT('LT records'!$E255,3)</f>
        <v>MyF</v>
      </c>
      <c r="G255" s="324" t="str">
        <f aca="false">IF(OR('LT records'!$F255="MyF", 'LT records'!$F255="DEP"),"DEP",IF('LT records'!$F255="CSH","CSH",IF('LT records'!$F255="BON","BND",IF('LT records'!$F255="Sma","MKT",IF(OR('LT records'!$F255="Val", 'LT records'!$F255="EUR"),"FCY",IF('LT records'!$F255="X-P","PP3",IF('LT records'!$F255="X-m","XAU","???")))))))</f>
        <v>DEP</v>
      </c>
      <c r="H255" s="325" t="n">
        <v>0</v>
      </c>
      <c r="I255" s="340" t="n">
        <v>1.11</v>
      </c>
      <c r="J255" s="325"/>
      <c r="K255" s="340"/>
      <c r="L255" s="341" t="s">
        <v>369</v>
      </c>
      <c r="M255" s="342" t="str">
        <f aca="false">YEAR('LT records'!$B255)&amp;"-"&amp;MONTH('LT records'!$B255)</f>
        <v>2017-7</v>
      </c>
      <c r="N255" s="343" t="n">
        <f aca="false">'LT records'!$H255+'LT records'!$I255</f>
        <v>1.11</v>
      </c>
      <c r="O255" s="347"/>
      <c r="P255" s="347"/>
      <c r="Q255" s="336"/>
      <c r="R255" s="337"/>
      <c r="T255" s="327"/>
    </row>
    <row r="256" customFormat="false" ht="12.8" hidden="false" customHeight="false" outlineLevel="0" collapsed="false">
      <c r="B256" s="270" t="n">
        <v>42933</v>
      </c>
      <c r="C256" s="348" t="n">
        <f aca="false">YEAR('LT records'!$B256)</f>
        <v>2017</v>
      </c>
      <c r="D256" s="346" t="str">
        <f aca="false">'LT records'!$C256&amp;"-"&amp;MONTH('LT records'!$B256)</f>
        <v>2017-7</v>
      </c>
      <c r="E256" s="324" t="s">
        <v>409</v>
      </c>
      <c r="F256" s="324" t="str">
        <f aca="false">LEFT('LT records'!$E256,3)</f>
        <v>MyF</v>
      </c>
      <c r="G256" s="324" t="str">
        <f aca="false">IF(OR('LT records'!$F256="MyF", 'LT records'!$F256="DEP"),"DEP",IF('LT records'!$F256="CSH","CSH",IF('LT records'!$F256="BON","BND",IF('LT records'!$F256="Sma","MKT",IF(OR('LT records'!$F256="Val", 'LT records'!$F256="EUR"),"FCY",IF('LT records'!$F256="X-P","PP3",IF('LT records'!$F256="X-m","XAU","???")))))))</f>
        <v>DEP</v>
      </c>
      <c r="H256" s="325" t="n">
        <v>-10009.44</v>
      </c>
      <c r="I256" s="340"/>
      <c r="J256" s="325"/>
      <c r="K256" s="340"/>
      <c r="L256" s="341" t="s">
        <v>412</v>
      </c>
      <c r="M256" s="342" t="str">
        <f aca="false">YEAR('LT records'!$B256)&amp;"-"&amp;MONTH('LT records'!$B256)</f>
        <v>2017-7</v>
      </c>
      <c r="N256" s="343" t="n">
        <f aca="false">'LT records'!$H256+'LT records'!$I256</f>
        <v>-10009.44</v>
      </c>
      <c r="O256" s="347"/>
      <c r="P256" s="347"/>
      <c r="Q256" s="336"/>
      <c r="R256" s="337"/>
      <c r="T256" s="327"/>
    </row>
    <row r="257" customFormat="false" ht="12.8" hidden="false" customHeight="false" outlineLevel="0" collapsed="false">
      <c r="B257" s="270" t="n">
        <v>42933</v>
      </c>
      <c r="C257" s="348" t="n">
        <f aca="false">YEAR('LT records'!$B257)</f>
        <v>2017</v>
      </c>
      <c r="D257" s="346" t="str">
        <f aca="false">'LT records'!$C257&amp;"-"&amp;MONTH('LT records'!$B257)</f>
        <v>2017-7</v>
      </c>
      <c r="E257" s="324" t="s">
        <v>322</v>
      </c>
      <c r="F257" s="324" t="str">
        <f aca="false">LEFT('LT records'!$E257,3)</f>
        <v>X-m</v>
      </c>
      <c r="G257" s="324" t="str">
        <f aca="false">IF(OR('LT records'!$F257="MyF", 'LT records'!$F257="DEP"),"DEP",IF('LT records'!$F257="CSH","CSH",IF('LT records'!$F257="BON","BND",IF('LT records'!$F257="Sma","MKT",IF(OR('LT records'!$F257="Val", 'LT records'!$F257="EUR"),"FCY",IF('LT records'!$F257="X-P","PP3",IF('LT records'!$F257="X-m","XAU","???")))))))</f>
        <v>XAU</v>
      </c>
      <c r="H257" s="325" t="n">
        <v>9785</v>
      </c>
      <c r="I257" s="340"/>
      <c r="J257" s="325"/>
      <c r="K257" s="340"/>
      <c r="L257" s="341" t="s">
        <v>412</v>
      </c>
      <c r="M257" s="342" t="str">
        <f aca="false">YEAR('LT records'!$B257)&amp;"-"&amp;MONTH('LT records'!$B257)</f>
        <v>2017-7</v>
      </c>
      <c r="N257" s="343" t="n">
        <f aca="false">'LT records'!$H257+'LT records'!$I257</f>
        <v>9785</v>
      </c>
      <c r="O257" s="347"/>
      <c r="P257" s="347"/>
      <c r="Q257" s="336"/>
      <c r="R257" s="337"/>
      <c r="T257" s="327"/>
    </row>
    <row r="258" customFormat="false" ht="12.8" hidden="false" customHeight="false" outlineLevel="0" collapsed="false">
      <c r="B258" s="270" t="n">
        <v>42935</v>
      </c>
      <c r="C258" s="348" t="n">
        <f aca="false">YEAR('LT records'!$B258)</f>
        <v>2017</v>
      </c>
      <c r="D258" s="346" t="str">
        <f aca="false">'LT records'!$C258&amp;"-"&amp;MONTH('LT records'!$B258)</f>
        <v>2017-7</v>
      </c>
      <c r="E258" s="324" t="s">
        <v>393</v>
      </c>
      <c r="F258" s="324" t="str">
        <f aca="false">LEFT('LT records'!$E258,3)</f>
        <v>MyF</v>
      </c>
      <c r="G258" s="324" t="str">
        <f aca="false">IF(OR('LT records'!$F258="MyF", 'LT records'!$F258="DEP"),"DEP",IF('LT records'!$F258="CSH","CSH",IF('LT records'!$F258="BON","BND",IF('LT records'!$F258="Sma","MKT",IF(OR('LT records'!$F258="Val", 'LT records'!$F258="EUR"),"FCY",IF('LT records'!$F258="X-P","PP3",IF('LT records'!$F258="X-m","XAU","???")))))))</f>
        <v>DEP</v>
      </c>
      <c r="H258" s="325" t="n">
        <v>1250</v>
      </c>
      <c r="I258" s="340" t="n">
        <f aca="false">0.82-0.13</f>
        <v>0.69</v>
      </c>
      <c r="J258" s="325"/>
      <c r="K258" s="340"/>
      <c r="L258" s="341" t="s">
        <v>413</v>
      </c>
      <c r="M258" s="342" t="str">
        <f aca="false">YEAR('LT records'!$B258)&amp;"-"&amp;MONTH('LT records'!$B258)</f>
        <v>2017-7</v>
      </c>
      <c r="N258" s="343" t="n">
        <f aca="false">'LT records'!$H258+'LT records'!$I258</f>
        <v>1250.69</v>
      </c>
      <c r="O258" s="347"/>
      <c r="P258" s="347"/>
      <c r="Q258" s="336"/>
      <c r="R258" s="337"/>
      <c r="T258" s="327"/>
    </row>
    <row r="259" customFormat="false" ht="12.8" hidden="false" customHeight="false" outlineLevel="0" collapsed="false">
      <c r="B259" s="270" t="n">
        <v>42947</v>
      </c>
      <c r="C259" s="348" t="n">
        <f aca="false">YEAR('LT records'!$B259)</f>
        <v>2017</v>
      </c>
      <c r="D259" s="346" t="str">
        <f aca="false">'LT records'!$C259&amp;"-"&amp;MONTH('LT records'!$B259)</f>
        <v>2017-7</v>
      </c>
      <c r="E259" s="324" t="s">
        <v>367</v>
      </c>
      <c r="F259" s="324" t="str">
        <f aca="false">LEFT('LT records'!$E259,3)</f>
        <v>MyF</v>
      </c>
      <c r="G259" s="324" t="str">
        <f aca="false">IF(OR('LT records'!$F259="MyF", 'LT records'!$F259="DEP"),"DEP",IF('LT records'!$F259="CSH","CSH",IF('LT records'!$F259="BON","BND",IF('LT records'!$F259="Sma","MKT",IF(OR('LT records'!$F259="Val", 'LT records'!$F259="EUR"),"FCY",IF('LT records'!$F259="X-P","PP3",IF('LT records'!$F259="X-m","XAU","???")))))))</f>
        <v>DEP</v>
      </c>
      <c r="H259" s="325" t="n">
        <v>650</v>
      </c>
      <c r="I259" s="340" t="n">
        <v>0.46</v>
      </c>
      <c r="J259" s="325"/>
      <c r="K259" s="340"/>
      <c r="L259" s="341" t="s">
        <v>410</v>
      </c>
      <c r="M259" s="342" t="str">
        <f aca="false">YEAR('LT records'!$B259)&amp;"-"&amp;MONTH('LT records'!$B259)</f>
        <v>2017-7</v>
      </c>
      <c r="N259" s="343" t="n">
        <f aca="false">'LT records'!$H259+'LT records'!$I259</f>
        <v>650.46</v>
      </c>
      <c r="O259" s="347"/>
      <c r="P259" s="347"/>
      <c r="Q259" s="336"/>
      <c r="R259" s="337"/>
      <c r="T259" s="327"/>
    </row>
    <row r="260" customFormat="false" ht="12.8" hidden="false" customHeight="false" outlineLevel="0" collapsed="false">
      <c r="B260" s="270" t="n">
        <v>42947</v>
      </c>
      <c r="C260" s="348" t="n">
        <f aca="false">YEAR('LT records'!$B260)</f>
        <v>2017</v>
      </c>
      <c r="D260" s="346" t="str">
        <f aca="false">'LT records'!$C260&amp;"-"&amp;MONTH('LT records'!$B260)</f>
        <v>2017-7</v>
      </c>
      <c r="E260" s="324" t="s">
        <v>367</v>
      </c>
      <c r="F260" s="324" t="str">
        <f aca="false">LEFT('LT records'!$E260,3)</f>
        <v>MyF</v>
      </c>
      <c r="G260" s="324" t="str">
        <f aca="false">IF(OR('LT records'!$F260="MyF", 'LT records'!$F260="DEP"),"DEP",IF('LT records'!$F260="CSH","CSH",IF('LT records'!$F260="BON","BND",IF('LT records'!$F260="Sma","MKT",IF(OR('LT records'!$F260="Val", 'LT records'!$F260="EUR"),"FCY",IF('LT records'!$F260="X-P","PP3",IF('LT records'!$F260="X-m","XAU","???")))))))</f>
        <v>DEP</v>
      </c>
      <c r="H260" s="325" t="n">
        <v>503</v>
      </c>
      <c r="I260" s="340"/>
      <c r="J260" s="325"/>
      <c r="K260" s="340"/>
      <c r="L260" s="341" t="s">
        <v>410</v>
      </c>
      <c r="M260" s="342" t="str">
        <f aca="false">YEAR('LT records'!$B260)&amp;"-"&amp;MONTH('LT records'!$B260)</f>
        <v>2017-7</v>
      </c>
      <c r="N260" s="343" t="n">
        <f aca="false">'LT records'!$H260+'LT records'!$I260</f>
        <v>503</v>
      </c>
      <c r="O260" s="347"/>
      <c r="P260" s="347"/>
      <c r="Q260" s="336"/>
      <c r="R260" s="337"/>
      <c r="T260" s="327"/>
    </row>
    <row r="261" customFormat="false" ht="12.8" hidden="false" customHeight="false" outlineLevel="0" collapsed="false">
      <c r="B261" s="270" t="n">
        <v>42957</v>
      </c>
      <c r="C261" s="348" t="n">
        <f aca="false">YEAR('LT records'!$B261)</f>
        <v>2017</v>
      </c>
      <c r="D261" s="346" t="str">
        <f aca="false">'LT records'!$C261&amp;"-"&amp;MONTH('LT records'!$B261)</f>
        <v>2017-8</v>
      </c>
      <c r="E261" s="324" t="s">
        <v>393</v>
      </c>
      <c r="F261" s="324" t="str">
        <f aca="false">LEFT('LT records'!$E261,3)</f>
        <v>MyF</v>
      </c>
      <c r="G261" s="324" t="str">
        <f aca="false">IF(OR('LT records'!$F261="MyF", 'LT records'!$F261="DEP"),"DEP",IF('LT records'!$F261="CSH","CSH",IF('LT records'!$F261="BON","BND",IF('LT records'!$F261="Sma","MKT",IF(OR('LT records'!$F261="Val", 'LT records'!$F261="EUR"),"FCY",IF('LT records'!$F261="X-P","PP3",IF('LT records'!$F261="X-m","XAU","???")))))))</f>
        <v>DEP</v>
      </c>
      <c r="H261" s="325" t="n">
        <v>91.79</v>
      </c>
      <c r="I261" s="340" t="n">
        <f aca="false">1.28-0.2</f>
        <v>1.08</v>
      </c>
      <c r="J261" s="325"/>
      <c r="K261" s="340"/>
      <c r="L261" s="341" t="s">
        <v>369</v>
      </c>
      <c r="M261" s="342" t="str">
        <f aca="false">YEAR('LT records'!$B261)&amp;"-"&amp;MONTH('LT records'!$B261)</f>
        <v>2017-8</v>
      </c>
      <c r="N261" s="343" t="n">
        <f aca="false">'LT records'!$H261+'LT records'!$I261</f>
        <v>92.87</v>
      </c>
      <c r="O261" s="347"/>
      <c r="P261" s="347"/>
      <c r="Q261" s="336"/>
      <c r="R261" s="337"/>
      <c r="T261" s="327"/>
    </row>
    <row r="262" customFormat="false" ht="12.8" hidden="false" customHeight="false" outlineLevel="0" collapsed="false">
      <c r="B262" s="270" t="n">
        <v>42961</v>
      </c>
      <c r="C262" s="348" t="n">
        <f aca="false">YEAR('LT records'!$B262)</f>
        <v>2017</v>
      </c>
      <c r="D262" s="346" t="str">
        <f aca="false">'LT records'!$C262&amp;"-"&amp;MONTH('LT records'!$B262)</f>
        <v>2017-8</v>
      </c>
      <c r="E262" s="324" t="s">
        <v>367</v>
      </c>
      <c r="F262" s="324" t="str">
        <f aca="false">LEFT('LT records'!$E262,3)</f>
        <v>MyF</v>
      </c>
      <c r="G262" s="324" t="str">
        <f aca="false">IF(OR('LT records'!$F262="MyF", 'LT records'!$F262="DEP"),"DEP",IF('LT records'!$F262="CSH","CSH",IF('LT records'!$F262="BON","BND",IF('LT records'!$F262="Sma","MKT",IF(OR('LT records'!$F262="Val", 'LT records'!$F262="EUR"),"FCY",IF('LT records'!$F262="X-P","PP3",IF('LT records'!$F262="X-m","XAU","???")))))))</f>
        <v>DEP</v>
      </c>
      <c r="H262" s="325" t="n">
        <v>-2450.87</v>
      </c>
      <c r="I262" s="340"/>
      <c r="J262" s="325"/>
      <c r="K262" s="340"/>
      <c r="L262" s="341" t="s">
        <v>407</v>
      </c>
      <c r="M262" s="342" t="str">
        <f aca="false">YEAR('LT records'!$B262)&amp;"-"&amp;MONTH('LT records'!$B262)</f>
        <v>2017-8</v>
      </c>
      <c r="N262" s="343" t="n">
        <f aca="false">'LT records'!$H262+'LT records'!$I262</f>
        <v>-2450.87</v>
      </c>
      <c r="O262" s="347"/>
      <c r="P262" s="347"/>
      <c r="Q262" s="336"/>
      <c r="R262" s="337"/>
      <c r="T262" s="327"/>
    </row>
    <row r="263" customFormat="false" ht="12.8" hidden="false" customHeight="false" outlineLevel="0" collapsed="false">
      <c r="B263" s="270" t="n">
        <v>42961</v>
      </c>
      <c r="C263" s="348" t="n">
        <f aca="false">YEAR('LT records'!$B263)</f>
        <v>2017</v>
      </c>
      <c r="D263" s="346" t="str">
        <f aca="false">'LT records'!$C263&amp;"-"&amp;MONTH('LT records'!$B263)</f>
        <v>2017-8</v>
      </c>
      <c r="E263" s="324" t="s">
        <v>393</v>
      </c>
      <c r="F263" s="324" t="str">
        <f aca="false">LEFT('LT records'!$E263,3)</f>
        <v>MyF</v>
      </c>
      <c r="G263" s="324" t="str">
        <f aca="false">IF(OR('LT records'!$F263="MyF", 'LT records'!$F263="DEP"),"DEP",IF('LT records'!$F263="CSH","CSH",IF('LT records'!$F263="BON","BND",IF('LT records'!$F263="Sma","MKT",IF(OR('LT records'!$F263="Val", 'LT records'!$F263="EUR"),"FCY",IF('LT records'!$F263="X-P","PP3",IF('LT records'!$F263="X-m","XAU","???")))))))</f>
        <v>DEP</v>
      </c>
      <c r="H263" s="325" t="n">
        <v>-3097.93</v>
      </c>
      <c r="I263" s="340"/>
      <c r="J263" s="325"/>
      <c r="K263" s="340"/>
      <c r="L263" s="341" t="s">
        <v>407</v>
      </c>
      <c r="M263" s="350" t="str">
        <f aca="false">YEAR('LT records'!$B263)&amp;"-"&amp;MONTH('LT records'!$B263)</f>
        <v>2017-8</v>
      </c>
      <c r="N263" s="343" t="n">
        <f aca="false">'LT records'!$H263+'LT records'!$I263</f>
        <v>-3097.93</v>
      </c>
      <c r="O263" s="347"/>
      <c r="P263" s="347"/>
      <c r="Q263" s="336"/>
      <c r="R263" s="337"/>
      <c r="T263" s="327"/>
    </row>
    <row r="264" customFormat="false" ht="12.8" hidden="false" customHeight="false" outlineLevel="0" collapsed="false">
      <c r="B264" s="270" t="n">
        <v>42966</v>
      </c>
      <c r="C264" s="348" t="n">
        <f aca="false">YEAR('LT records'!$B264)</f>
        <v>2017</v>
      </c>
      <c r="D264" s="346" t="str">
        <f aca="false">'LT records'!$C264&amp;"-"&amp;MONTH('LT records'!$B264)</f>
        <v>2017-8</v>
      </c>
      <c r="E264" s="324" t="s">
        <v>367</v>
      </c>
      <c r="F264" s="324" t="str">
        <f aca="false">LEFT('LT records'!$E264,3)</f>
        <v>MyF</v>
      </c>
      <c r="G264" s="324" t="str">
        <f aca="false">IF(OR('LT records'!$F264="MyF", 'LT records'!$F264="DEP"),"DEP",IF('LT records'!$F264="CSH","CSH",IF('LT records'!$F264="BON","BND",IF('LT records'!$F264="Sma","MKT",IF(OR('LT records'!$F264="Val", 'LT records'!$F264="EUR"),"FCY",IF('LT records'!$F264="X-P","PP3",IF('LT records'!$F264="X-m","XAU","???")))))))</f>
        <v>DEP</v>
      </c>
      <c r="H264" s="325" t="n">
        <v>5600</v>
      </c>
      <c r="I264" s="340"/>
      <c r="J264" s="325"/>
      <c r="K264" s="340"/>
      <c r="L264" s="341" t="s">
        <v>414</v>
      </c>
      <c r="M264" s="350" t="str">
        <f aca="false">YEAR('LT records'!$B264)&amp;"-"&amp;MONTH('LT records'!$B264)</f>
        <v>2017-8</v>
      </c>
      <c r="N264" s="343" t="n">
        <f aca="false">'LT records'!$H264+'LT records'!$I264</f>
        <v>5600</v>
      </c>
      <c r="O264" s="347"/>
      <c r="P264" s="347"/>
      <c r="Q264" s="336"/>
      <c r="R264" s="337"/>
      <c r="T264" s="327"/>
    </row>
    <row r="265" customFormat="false" ht="12.8" hidden="false" customHeight="false" outlineLevel="0" collapsed="false">
      <c r="B265" s="270" t="n">
        <v>42968</v>
      </c>
      <c r="C265" s="348" t="n">
        <f aca="false">YEAR('LT records'!$B265)</f>
        <v>2017</v>
      </c>
      <c r="D265" s="346" t="str">
        <f aca="false">'LT records'!$C265&amp;"-"&amp;MONTH('LT records'!$B265)</f>
        <v>2017-8</v>
      </c>
      <c r="E265" s="324" t="s">
        <v>393</v>
      </c>
      <c r="F265" s="324" t="str">
        <f aca="false">LEFT('LT records'!$E265,3)</f>
        <v>MyF</v>
      </c>
      <c r="G265" s="324" t="str">
        <f aca="false">IF(OR('LT records'!$F265="MyF", 'LT records'!$F265="DEP"),"DEP",IF('LT records'!$F265="CSH","CSH",IF('LT records'!$F265="BON","BND",IF('LT records'!$F265="Sma","MKT",IF(OR('LT records'!$F265="Val", 'LT records'!$F265="EUR"),"FCY",IF('LT records'!$F265="X-P","PP3",IF('LT records'!$F265="X-m","XAU","???")))))))</f>
        <v>DEP</v>
      </c>
      <c r="H265" s="325" t="n">
        <v>0</v>
      </c>
      <c r="I265" s="340" t="n">
        <v>1.23</v>
      </c>
      <c r="J265" s="325"/>
      <c r="K265" s="340"/>
      <c r="L265" s="341" t="s">
        <v>395</v>
      </c>
      <c r="M265" s="350" t="str">
        <f aca="false">YEAR('LT records'!$B265)&amp;"-"&amp;MONTH('LT records'!$B265)</f>
        <v>2017-8</v>
      </c>
      <c r="N265" s="343" t="n">
        <f aca="false">'LT records'!$H265+'LT records'!$I265</f>
        <v>1.23</v>
      </c>
      <c r="O265" s="347"/>
      <c r="P265" s="347"/>
      <c r="Q265" s="336"/>
      <c r="R265" s="337"/>
      <c r="T265" s="327"/>
    </row>
    <row r="266" customFormat="false" ht="12.8" hidden="false" customHeight="false" outlineLevel="0" collapsed="false">
      <c r="B266" s="270" t="n">
        <v>42970</v>
      </c>
      <c r="C266" s="348" t="n">
        <f aca="false">YEAR('LT records'!$B266)</f>
        <v>2017</v>
      </c>
      <c r="D266" s="346" t="str">
        <f aca="false">'LT records'!$C266&amp;"-"&amp;MONTH('LT records'!$B266)</f>
        <v>2017-8</v>
      </c>
      <c r="E266" s="324" t="s">
        <v>393</v>
      </c>
      <c r="F266" s="324" t="str">
        <f aca="false">LEFT('LT records'!$E266,3)</f>
        <v>MyF</v>
      </c>
      <c r="G266" s="324" t="str">
        <f aca="false">IF(OR('LT records'!$F266="MyF", 'LT records'!$F266="DEP"),"DEP",IF('LT records'!$F266="CSH","CSH",IF('LT records'!$F266="BON","BND",IF('LT records'!$F266="Sma","MKT",IF(OR('LT records'!$F266="Val", 'LT records'!$F266="EUR"),"FCY",IF('LT records'!$F266="X-P","PP3",IF('LT records'!$F266="X-m","XAU","???")))))))</f>
        <v>DEP</v>
      </c>
      <c r="H266" s="325" t="n">
        <v>1048</v>
      </c>
      <c r="I266" s="340"/>
      <c r="J266" s="325"/>
      <c r="K266" s="340"/>
      <c r="L266" s="341" t="s">
        <v>410</v>
      </c>
      <c r="M266" s="350" t="str">
        <f aca="false">YEAR('LT records'!$B266)&amp;"-"&amp;MONTH('LT records'!$B266)</f>
        <v>2017-8</v>
      </c>
      <c r="N266" s="343" t="n">
        <f aca="false">'LT records'!$H266+'LT records'!$I266</f>
        <v>1048</v>
      </c>
      <c r="O266" s="347"/>
      <c r="P266" s="347"/>
      <c r="Q266" s="336"/>
      <c r="R266" s="337"/>
      <c r="T266" s="327"/>
    </row>
    <row r="267" customFormat="false" ht="12.8" hidden="false" customHeight="false" outlineLevel="0" collapsed="false">
      <c r="B267" s="270" t="n">
        <v>42978</v>
      </c>
      <c r="C267" s="348" t="n">
        <f aca="false">YEAR('LT records'!$B267)</f>
        <v>2017</v>
      </c>
      <c r="D267" s="346" t="str">
        <f aca="false">'LT records'!$C267&amp;"-"&amp;MONTH('LT records'!$B267)</f>
        <v>2017-8</v>
      </c>
      <c r="E267" s="324" t="s">
        <v>393</v>
      </c>
      <c r="F267" s="324" t="str">
        <f aca="false">LEFT('LT records'!$E267,3)</f>
        <v>MyF</v>
      </c>
      <c r="G267" s="324" t="str">
        <f aca="false">IF(OR('LT records'!$F267="MyF", 'LT records'!$F267="DEP"),"DEP",IF('LT records'!$F267="CSH","CSH",IF('LT records'!$F267="BON","BND",IF('LT records'!$F267="Sma","MKT",IF(OR('LT records'!$F267="Val", 'LT records'!$F267="EUR"),"FCY",IF('LT records'!$F267="X-P","PP3",IF('LT records'!$F267="X-m","XAU","???")))))))</f>
        <v>DEP</v>
      </c>
      <c r="H267" s="325" t="n">
        <v>1000</v>
      </c>
      <c r="I267" s="340"/>
      <c r="J267" s="325"/>
      <c r="K267" s="340"/>
      <c r="L267" s="341" t="s">
        <v>394</v>
      </c>
      <c r="M267" s="350" t="str">
        <f aca="false">YEAR('LT records'!$B267)&amp;"-"&amp;MONTH('LT records'!$B267)</f>
        <v>2017-8</v>
      </c>
      <c r="N267" s="343" t="n">
        <f aca="false">'LT records'!$H267+'LT records'!$I267</f>
        <v>1000</v>
      </c>
      <c r="O267" s="347"/>
      <c r="P267" s="347"/>
      <c r="Q267" s="336"/>
      <c r="R267" s="337"/>
      <c r="T267" s="327"/>
    </row>
    <row r="268" customFormat="false" ht="12.8" hidden="false" customHeight="false" outlineLevel="0" collapsed="false">
      <c r="B268" s="270" t="n">
        <v>42982</v>
      </c>
      <c r="C268" s="348" t="n">
        <f aca="false">YEAR('LT records'!$B268)</f>
        <v>2017</v>
      </c>
      <c r="D268" s="346" t="str">
        <f aca="false">'LT records'!$C268&amp;"-"&amp;MONTH('LT records'!$B268)</f>
        <v>2017-9</v>
      </c>
      <c r="E268" s="324" t="s">
        <v>322</v>
      </c>
      <c r="F268" s="324" t="str">
        <f aca="false">LEFT('LT records'!$E268,3)</f>
        <v>X-m</v>
      </c>
      <c r="G268" s="324" t="str">
        <f aca="false">IF(OR('LT records'!$F268="MyF", 'LT records'!$F268="DEP"),"DEP",IF('LT records'!$F268="CSH","CSH",IF('LT records'!$F268="BON","BND",IF('LT records'!$F268="Sma","MKT",IF(OR('LT records'!$F268="Val", 'LT records'!$F268="EUR"),"FCY",IF('LT records'!$F268="X-P","PP3",IF('LT records'!$F268="X-m","XAU","???")))))))</f>
        <v>XAU</v>
      </c>
      <c r="H268" s="325" t="n">
        <v>895</v>
      </c>
      <c r="I268" s="340"/>
      <c r="J268" s="325"/>
      <c r="K268" s="340"/>
      <c r="L268" s="341" t="s">
        <v>415</v>
      </c>
      <c r="M268" s="350" t="str">
        <f aca="false">YEAR('LT records'!$B268)&amp;"-"&amp;MONTH('LT records'!$B268)</f>
        <v>2017-9</v>
      </c>
      <c r="N268" s="343" t="n">
        <f aca="false">'LT records'!$H268+'LT records'!$I268</f>
        <v>895</v>
      </c>
      <c r="O268" s="347"/>
      <c r="P268" s="347"/>
      <c r="Q268" s="326"/>
      <c r="R268" s="337"/>
      <c r="T268" s="327"/>
    </row>
    <row r="269" customFormat="false" ht="12.8" hidden="false" customHeight="false" outlineLevel="0" collapsed="false">
      <c r="B269" s="270" t="n">
        <v>42999</v>
      </c>
      <c r="C269" s="348" t="n">
        <f aca="false">YEAR('LT records'!$B269)</f>
        <v>2017</v>
      </c>
      <c r="D269" s="346" t="str">
        <f aca="false">'LT records'!$C269&amp;"-"&amp;MONTH('LT records'!$B269)</f>
        <v>2017-9</v>
      </c>
      <c r="E269" s="324" t="s">
        <v>367</v>
      </c>
      <c r="F269" s="324" t="str">
        <f aca="false">LEFT('LT records'!$E269,3)</f>
        <v>MyF</v>
      </c>
      <c r="G269" s="324" t="str">
        <f aca="false">IF(OR('LT records'!$F269="MyF", 'LT records'!$F269="DEP"),"DEP",IF('LT records'!$F269="CSH","CSH",IF('LT records'!$F269="BON","BND",IF('LT records'!$F269="Sma","MKT",IF(OR('LT records'!$F269="Val", 'LT records'!$F269="EUR"),"FCY",IF('LT records'!$F269="X-P","PP3",IF('LT records'!$F269="X-m","XAU","???")))))))</f>
        <v>DEP</v>
      </c>
      <c r="H269" s="325" t="n">
        <v>4400</v>
      </c>
      <c r="I269" s="340" t="n">
        <v>2</v>
      </c>
      <c r="J269" s="325"/>
      <c r="K269" s="340"/>
      <c r="L269" s="341" t="s">
        <v>416</v>
      </c>
      <c r="M269" s="350" t="str">
        <f aca="false">YEAR('LT records'!$B269)&amp;"-"&amp;MONTH('LT records'!$B269)</f>
        <v>2017-9</v>
      </c>
      <c r="N269" s="343" t="n">
        <f aca="false">'LT records'!$H269+'LT records'!$I269</f>
        <v>4402</v>
      </c>
      <c r="O269" s="347"/>
      <c r="P269" s="347"/>
      <c r="Q269" s="326"/>
      <c r="R269" s="337"/>
      <c r="T269" s="327"/>
    </row>
    <row r="270" customFormat="false" ht="12.8" hidden="false" customHeight="false" outlineLevel="0" collapsed="false">
      <c r="B270" s="270" t="n">
        <v>43003</v>
      </c>
      <c r="C270" s="348" t="n">
        <f aca="false">YEAR('LT records'!$B270)</f>
        <v>2017</v>
      </c>
      <c r="D270" s="346" t="str">
        <f aca="false">'LT records'!$C270&amp;"-"&amp;MONTH('LT records'!$B270)</f>
        <v>2017-9</v>
      </c>
      <c r="E270" s="324" t="s">
        <v>393</v>
      </c>
      <c r="F270" s="324" t="str">
        <f aca="false">LEFT('LT records'!$E270,3)</f>
        <v>MyF</v>
      </c>
      <c r="G270" s="324" t="str">
        <f aca="false">IF(OR('LT records'!$F270="MyF", 'LT records'!$F270="DEP"),"DEP",IF('LT records'!$F270="CSH","CSH",IF('LT records'!$F270="BON","BND",IF('LT records'!$F270="Sma","MKT",IF(OR('LT records'!$F270="Val", 'LT records'!$F270="EUR"),"FCY",IF('LT records'!$F270="X-P","PP3",IF('LT records'!$F270="X-m","XAU","???")))))))</f>
        <v>DEP</v>
      </c>
      <c r="H270" s="325" t="n">
        <v>0</v>
      </c>
      <c r="I270" s="340" t="n">
        <v>1.63</v>
      </c>
      <c r="J270" s="325"/>
      <c r="K270" s="340"/>
      <c r="L270" s="341" t="s">
        <v>369</v>
      </c>
      <c r="M270" s="350" t="str">
        <f aca="false">YEAR('LT records'!$B270)&amp;"-"&amp;MONTH('LT records'!$B270)</f>
        <v>2017-9</v>
      </c>
      <c r="N270" s="343" t="n">
        <f aca="false">'LT records'!$H270+'LT records'!$I270</f>
        <v>1.63</v>
      </c>
      <c r="O270" s="347"/>
      <c r="P270" s="347"/>
      <c r="Q270" s="326"/>
      <c r="R270" s="337"/>
      <c r="T270" s="327"/>
    </row>
    <row r="271" customFormat="false" ht="12.8" hidden="false" customHeight="false" outlineLevel="0" collapsed="false">
      <c r="B271" s="270" t="n">
        <v>43007</v>
      </c>
      <c r="C271" s="348" t="n">
        <f aca="false">YEAR('LT records'!$B271)</f>
        <v>2017</v>
      </c>
      <c r="D271" s="346" t="str">
        <f aca="false">'LT records'!$C271&amp;"-"&amp;MONTH('LT records'!$B271)</f>
        <v>2017-9</v>
      </c>
      <c r="E271" s="324" t="s">
        <v>393</v>
      </c>
      <c r="F271" s="324" t="str">
        <f aca="false">LEFT('LT records'!$E271,3)</f>
        <v>MyF</v>
      </c>
      <c r="G271" s="324" t="str">
        <f aca="false">IF(OR('LT records'!$F271="MyF", 'LT records'!$F271="DEP"),"DEP",IF('LT records'!$F271="CSH","CSH",IF('LT records'!$F271="BON","BND",IF('LT records'!$F271="Sma","MKT",IF(OR('LT records'!$F271="Val", 'LT records'!$F271="EUR"),"FCY",IF('LT records'!$F271="X-P","PP3",IF('LT records'!$F271="X-m","XAU","???")))))))</f>
        <v>DEP</v>
      </c>
      <c r="H271" s="325" t="n">
        <v>1500</v>
      </c>
      <c r="I271" s="340" t="n">
        <v>0.34</v>
      </c>
      <c r="J271" s="325"/>
      <c r="K271" s="340"/>
      <c r="L271" s="341" t="s">
        <v>417</v>
      </c>
      <c r="M271" s="350" t="str">
        <f aca="false">YEAR('LT records'!$B271)&amp;"-"&amp;MONTH('LT records'!$B271)</f>
        <v>2017-9</v>
      </c>
      <c r="N271" s="343" t="n">
        <f aca="false">'LT records'!$H271+'LT records'!$I271</f>
        <v>1500.34</v>
      </c>
      <c r="O271" s="347"/>
      <c r="P271" s="347"/>
      <c r="Q271" s="326"/>
      <c r="R271" s="337"/>
      <c r="T271" s="327"/>
    </row>
    <row r="272" customFormat="false" ht="12.8" hidden="false" customHeight="false" outlineLevel="0" collapsed="false">
      <c r="B272" s="270" t="n">
        <v>43029</v>
      </c>
      <c r="C272" s="348" t="n">
        <f aca="false">YEAR('LT records'!$B272)</f>
        <v>2017</v>
      </c>
      <c r="D272" s="346" t="str">
        <f aca="false">'LT records'!$C272&amp;"-"&amp;MONTH('LT records'!$B272)</f>
        <v>2017-10</v>
      </c>
      <c r="E272" s="324" t="s">
        <v>409</v>
      </c>
      <c r="F272" s="324" t="str">
        <f aca="false">LEFT('LT records'!$E272,3)</f>
        <v>MyF</v>
      </c>
      <c r="G272" s="324" t="str">
        <f aca="false">IF(OR('LT records'!$F272="MyF", 'LT records'!$F272="DEP"),"DEP",IF('LT records'!$F272="CSH","CSH",IF('LT records'!$F272="BON","BND",IF('LT records'!$F272="Sma","MKT",IF(OR('LT records'!$F272="Val", 'LT records'!$F272="EUR"),"FCY",IF('LT records'!$F272="X-P","PP3",IF('LT records'!$F272="X-m","XAU","???")))))))</f>
        <v>DEP</v>
      </c>
      <c r="H272" s="325" t="n">
        <v>3000</v>
      </c>
      <c r="I272" s="340"/>
      <c r="J272" s="325"/>
      <c r="K272" s="340"/>
      <c r="L272" s="341" t="s">
        <v>418</v>
      </c>
      <c r="M272" s="350" t="str">
        <f aca="false">YEAR('LT records'!$B272)&amp;"-"&amp;MONTH('LT records'!$B272)</f>
        <v>2017-10</v>
      </c>
      <c r="N272" s="343" t="n">
        <f aca="false">'LT records'!$H272+'LT records'!$I272</f>
        <v>3000</v>
      </c>
      <c r="O272" s="347"/>
      <c r="P272" s="347"/>
      <c r="Q272" s="326"/>
      <c r="R272" s="337"/>
      <c r="T272" s="327"/>
    </row>
    <row r="273" customFormat="false" ht="12.8" hidden="false" customHeight="false" outlineLevel="0" collapsed="false">
      <c r="B273" s="270" t="n">
        <v>43033</v>
      </c>
      <c r="C273" s="348" t="n">
        <f aca="false">YEAR('LT records'!$B273)</f>
        <v>2017</v>
      </c>
      <c r="D273" s="346" t="str">
        <f aca="false">'LT records'!$C273&amp;"-"&amp;MONTH('LT records'!$B273)</f>
        <v>2017-10</v>
      </c>
      <c r="E273" s="324" t="s">
        <v>393</v>
      </c>
      <c r="F273" s="324" t="str">
        <f aca="false">LEFT('LT records'!$E273,3)</f>
        <v>MyF</v>
      </c>
      <c r="G273" s="324" t="str">
        <f aca="false">IF(OR('LT records'!$F273="MyF", 'LT records'!$F273="DEP"),"DEP",IF('LT records'!$F273="CSH","CSH",IF('LT records'!$F273="BON","BND",IF('LT records'!$F273="Sma","MKT",IF(OR('LT records'!$F273="Val", 'LT records'!$F273="EUR"),"FCY",IF('LT records'!$F273="X-P","PP3",IF('LT records'!$F273="X-m","XAU","???")))))))</f>
        <v>DEP</v>
      </c>
      <c r="H273" s="325" t="n">
        <v>700</v>
      </c>
      <c r="I273" s="340" t="n">
        <v>1.49</v>
      </c>
      <c r="J273" s="325"/>
      <c r="K273" s="340"/>
      <c r="L273" s="341" t="s">
        <v>419</v>
      </c>
      <c r="M273" s="350" t="str">
        <f aca="false">YEAR('LT records'!$B273)&amp;"-"&amp;MONTH('LT records'!$B273)</f>
        <v>2017-10</v>
      </c>
      <c r="N273" s="343" t="n">
        <f aca="false">'LT records'!$H273+'LT records'!$I273</f>
        <v>701.49</v>
      </c>
      <c r="O273" s="347"/>
      <c r="P273" s="347"/>
      <c r="Q273" s="336"/>
      <c r="R273" s="337"/>
      <c r="T273" s="327"/>
    </row>
    <row r="274" customFormat="false" ht="12.8" hidden="false" customHeight="false" outlineLevel="0" collapsed="false">
      <c r="B274" s="270" t="n">
        <v>43038</v>
      </c>
      <c r="C274" s="348" t="n">
        <f aca="false">YEAR('LT records'!$B274)</f>
        <v>2017</v>
      </c>
      <c r="D274" s="346" t="str">
        <f aca="false">'LT records'!$C274&amp;"-"&amp;MONTH('LT records'!$B274)</f>
        <v>2017-10</v>
      </c>
      <c r="E274" s="324" t="s">
        <v>393</v>
      </c>
      <c r="F274" s="324" t="str">
        <f aca="false">LEFT('LT records'!$E274,3)</f>
        <v>MyF</v>
      </c>
      <c r="G274" s="324" t="str">
        <f aca="false">IF(OR('LT records'!$F274="MyF", 'LT records'!$F274="DEP"),"DEP",IF('LT records'!$F274="CSH","CSH",IF('LT records'!$F274="BON","BND",IF('LT records'!$F274="Sma","MKT",IF(OR('LT records'!$F274="Val", 'LT records'!$F274="EUR"),"FCY",IF('LT records'!$F274="X-P","PP3",IF('LT records'!$F274="X-m","XAU","???")))))))</f>
        <v>DEP</v>
      </c>
      <c r="H274" s="325" t="n">
        <v>1000</v>
      </c>
      <c r="I274" s="340" t="n">
        <v>0.89</v>
      </c>
      <c r="J274" s="325"/>
      <c r="K274" s="340"/>
      <c r="L274" s="341" t="s">
        <v>420</v>
      </c>
      <c r="M274" s="350" t="str">
        <f aca="false">YEAR('LT records'!$B274)&amp;"-"&amp;MONTH('LT records'!$B274)</f>
        <v>2017-10</v>
      </c>
      <c r="N274" s="343" t="n">
        <f aca="false">'LT records'!$H274+'LT records'!$I274</f>
        <v>1000.89</v>
      </c>
      <c r="O274" s="347"/>
      <c r="P274" s="347"/>
      <c r="Q274" s="336"/>
      <c r="R274" s="337"/>
      <c r="T274" s="327"/>
    </row>
    <row r="275" customFormat="false" ht="12.8" hidden="false" customHeight="false" outlineLevel="0" collapsed="false">
      <c r="B275" s="270" t="n">
        <v>43062</v>
      </c>
      <c r="C275" s="348" t="n">
        <f aca="false">YEAR('LT records'!$B275)</f>
        <v>2017</v>
      </c>
      <c r="D275" s="346" t="str">
        <f aca="false">'LT records'!$C275&amp;"-"&amp;MONTH('LT records'!$B275)</f>
        <v>2017-11</v>
      </c>
      <c r="E275" s="324" t="s">
        <v>409</v>
      </c>
      <c r="F275" s="324" t="str">
        <f aca="false">LEFT('LT records'!$E275,3)</f>
        <v>MyF</v>
      </c>
      <c r="G275" s="324" t="str">
        <f aca="false">IF(OR('LT records'!$F275="MyF", 'LT records'!$F275="DEP"),"DEP",IF('LT records'!$F275="CSH","CSH",IF('LT records'!$F275="BON","BND",IF('LT records'!$F275="Sma","MKT",IF(OR('LT records'!$F275="Val", 'LT records'!$F275="EUR"),"FCY",IF('LT records'!$F275="X-P","PP3",IF('LT records'!$F275="X-m","XAU","???")))))))</f>
        <v>DEP</v>
      </c>
      <c r="H275" s="325" t="n">
        <v>0</v>
      </c>
      <c r="I275" s="340" t="n">
        <v>1.07</v>
      </c>
      <c r="J275" s="325"/>
      <c r="K275" s="340"/>
      <c r="L275" s="341" t="s">
        <v>421</v>
      </c>
      <c r="M275" s="350" t="str">
        <f aca="false">YEAR('LT records'!$B275)&amp;"-"&amp;MONTH('LT records'!$B275)</f>
        <v>2017-11</v>
      </c>
      <c r="N275" s="343" t="n">
        <f aca="false">'LT records'!$H275+'LT records'!$I275</f>
        <v>1.07</v>
      </c>
      <c r="O275" s="347"/>
      <c r="P275" s="347"/>
      <c r="Q275" s="336"/>
      <c r="R275" s="337"/>
      <c r="T275" s="327"/>
    </row>
    <row r="276" customFormat="false" ht="12.8" hidden="false" customHeight="false" outlineLevel="0" collapsed="false">
      <c r="B276" s="270" t="n">
        <v>43068</v>
      </c>
      <c r="C276" s="348" t="n">
        <f aca="false">YEAR('LT records'!$B276)</f>
        <v>2017</v>
      </c>
      <c r="D276" s="346" t="str">
        <f aca="false">'LT records'!$C276&amp;"-"&amp;MONTH('LT records'!$B276)</f>
        <v>2017-11</v>
      </c>
      <c r="E276" s="324" t="s">
        <v>393</v>
      </c>
      <c r="F276" s="324" t="str">
        <f aca="false">LEFT('LT records'!$E276,3)</f>
        <v>MyF</v>
      </c>
      <c r="G276" s="324" t="str">
        <f aca="false">IF(OR('LT records'!$F276="MyF", 'LT records'!$F276="DEP"),"DEP",IF('LT records'!$F276="CSH","CSH",IF('LT records'!$F276="BON","BND",IF('LT records'!$F276="Sma","MKT",IF(OR('LT records'!$F276="Val", 'LT records'!$F276="EUR"),"FCY",IF('LT records'!$F276="X-P","PP3",IF('LT records'!$F276="X-m","XAU","???")))))))</f>
        <v>DEP</v>
      </c>
      <c r="H276" s="325" t="n">
        <v>-3502.44</v>
      </c>
      <c r="I276" s="340" t="n">
        <f aca="false">1.44-0.23</f>
        <v>1.21</v>
      </c>
      <c r="J276" s="325"/>
      <c r="K276" s="340"/>
      <c r="L276" s="341" t="s">
        <v>407</v>
      </c>
      <c r="M276" s="350" t="str">
        <f aca="false">YEAR('LT records'!$B276)&amp;"-"&amp;MONTH('LT records'!$B276)</f>
        <v>2017-11</v>
      </c>
      <c r="N276" s="343" t="n">
        <f aca="false">'LT records'!$H276+'LT records'!$I276</f>
        <v>-3501.23</v>
      </c>
      <c r="O276" s="347"/>
      <c r="P276" s="347"/>
      <c r="Q276" s="336"/>
      <c r="R276" s="337"/>
      <c r="T276" s="327"/>
    </row>
    <row r="277" customFormat="false" ht="12.8" hidden="false" customHeight="false" outlineLevel="0" collapsed="false">
      <c r="B277" s="270" t="n">
        <v>43068</v>
      </c>
      <c r="C277" s="348" t="n">
        <f aca="false">YEAR('LT records'!$B277)</f>
        <v>2017</v>
      </c>
      <c r="D277" s="346" t="str">
        <f aca="false">'LT records'!$C277&amp;"-"&amp;MONTH('LT records'!$B277)</f>
        <v>2017-11</v>
      </c>
      <c r="E277" s="324" t="s">
        <v>409</v>
      </c>
      <c r="F277" s="324" t="str">
        <f aca="false">LEFT('LT records'!$E277,3)</f>
        <v>MyF</v>
      </c>
      <c r="G277" s="324" t="str">
        <f aca="false">IF(OR('LT records'!$F277="MyF", 'LT records'!$F277="DEP"),"DEP",IF('LT records'!$F277="CSH","CSH",IF('LT records'!$F277="BON","BND",IF('LT records'!$F277="Sma","MKT",IF(OR('LT records'!$F277="Val", 'LT records'!$F277="EUR"),"FCY",IF('LT records'!$F277="X-P","PP3",IF('LT records'!$F277="X-m","XAU","???")))))))</f>
        <v>DEP</v>
      </c>
      <c r="H277" s="325" t="n">
        <v>-3001.07</v>
      </c>
      <c r="I277" s="340"/>
      <c r="J277" s="325"/>
      <c r="K277" s="340"/>
      <c r="L277" s="341" t="s">
        <v>407</v>
      </c>
      <c r="M277" s="350" t="str">
        <f aca="false">YEAR('LT records'!$B277)&amp;"-"&amp;MONTH('LT records'!$B277)</f>
        <v>2017-11</v>
      </c>
      <c r="N277" s="343" t="n">
        <f aca="false">'LT records'!$H277+'LT records'!$I277</f>
        <v>-3001.07</v>
      </c>
      <c r="O277" s="347"/>
      <c r="P277" s="347"/>
      <c r="Q277" s="326"/>
      <c r="T277" s="327"/>
    </row>
    <row r="278" customFormat="false" ht="12.8" hidden="false" customHeight="false" outlineLevel="0" collapsed="false">
      <c r="B278" s="270" t="n">
        <v>43068</v>
      </c>
      <c r="C278" s="348" t="n">
        <f aca="false">YEAR('LT records'!$B278)</f>
        <v>2017</v>
      </c>
      <c r="D278" s="346" t="str">
        <f aca="false">'LT records'!$C278&amp;"-"&amp;MONTH('LT records'!$B278)</f>
        <v>2017-11</v>
      </c>
      <c r="E278" s="324" t="s">
        <v>14</v>
      </c>
      <c r="F278" s="324" t="str">
        <f aca="false">LEFT('LT records'!$E278,3)</f>
        <v>CSH</v>
      </c>
      <c r="G278" s="324" t="str">
        <f aca="false">IF(OR('LT records'!$F278="MyF", 'LT records'!$F278="DEP"),"DEP",IF('LT records'!$F278="CSH","CSH",IF('LT records'!$F278="BON","BND",IF('LT records'!$F278="Sma","MKT",IF(OR('LT records'!$F278="Val", 'LT records'!$F278="EUR"),"FCY",IF('LT records'!$F278="X-P","PP3",IF('LT records'!$F278="X-m","XAU","???")))))))</f>
        <v>CSH</v>
      </c>
      <c r="H278" s="325" t="n">
        <v>2040</v>
      </c>
      <c r="I278" s="340"/>
      <c r="J278" s="325"/>
      <c r="K278" s="340"/>
      <c r="L278" s="341" t="s">
        <v>56</v>
      </c>
      <c r="M278" s="350" t="str">
        <f aca="false">YEAR('LT records'!$B278)&amp;"-"&amp;MONTH('LT records'!$B278)</f>
        <v>2017-11</v>
      </c>
      <c r="N278" s="343" t="n">
        <f aca="false">'LT records'!$H278+'LT records'!$I278</f>
        <v>2040</v>
      </c>
      <c r="O278" s="328"/>
      <c r="P278" s="328"/>
      <c r="Q278" s="326"/>
      <c r="T278" s="327"/>
    </row>
    <row r="279" customFormat="false" ht="12.8" hidden="false" customHeight="false" outlineLevel="0" collapsed="false">
      <c r="B279" s="351" t="n">
        <v>43069</v>
      </c>
      <c r="C279" s="348" t="n">
        <f aca="false">YEAR('LT records'!$B279)</f>
        <v>2017</v>
      </c>
      <c r="D279" s="346" t="str">
        <f aca="false">'LT records'!$C279&amp;"-"&amp;MONTH('LT records'!$B279)</f>
        <v>2017-11</v>
      </c>
      <c r="E279" s="324" t="s">
        <v>14</v>
      </c>
      <c r="F279" s="324" t="str">
        <f aca="false">LEFT('LT records'!$E279,3)</f>
        <v>CSH</v>
      </c>
      <c r="G279" s="324" t="str">
        <f aca="false">IF(OR('LT records'!$F279="MyF", 'LT records'!$F279="DEP"),"DEP",IF('LT records'!$F279="CSH","CSH",IF('LT records'!$F279="BON","BND",IF('LT records'!$F279="Sma","MKT",IF(OR('LT records'!$F279="Val", 'LT records'!$F279="EUR"),"FCY",IF('LT records'!$F279="X-P","PP3",IF('LT records'!$F279="X-m","XAU","???")))))))</f>
        <v>CSH</v>
      </c>
      <c r="H279" s="325" t="n">
        <v>9104</v>
      </c>
      <c r="I279" s="340" t="n">
        <f aca="false">0.03</f>
        <v>0.03</v>
      </c>
      <c r="J279" s="325"/>
      <c r="K279" s="340"/>
      <c r="L279" s="341" t="s">
        <v>56</v>
      </c>
      <c r="M279" s="350" t="str">
        <f aca="false">YEAR('LT records'!$B279)&amp;"-"&amp;MONTH('LT records'!$B279)</f>
        <v>2017-11</v>
      </c>
      <c r="N279" s="343" t="n">
        <f aca="false">'LT records'!$H279+'LT records'!$I279</f>
        <v>9104.03</v>
      </c>
      <c r="O279" s="328"/>
      <c r="P279" s="328"/>
      <c r="Q279" s="326"/>
      <c r="T279" s="327"/>
    </row>
    <row r="280" customFormat="false" ht="12.8" hidden="false" customHeight="false" outlineLevel="0" collapsed="false">
      <c r="B280" s="351" t="n">
        <v>43070</v>
      </c>
      <c r="C280" s="348" t="n">
        <f aca="false">YEAR('LT records'!$B280)</f>
        <v>2017</v>
      </c>
      <c r="D280" s="346" t="str">
        <f aca="false">'LT records'!$C280&amp;"-"&amp;MONTH('LT records'!$B280)</f>
        <v>2017-12</v>
      </c>
      <c r="E280" s="324" t="s">
        <v>14</v>
      </c>
      <c r="F280" s="324" t="str">
        <f aca="false">LEFT('LT records'!$E280,3)</f>
        <v>CSH</v>
      </c>
      <c r="G280" s="324" t="str">
        <f aca="false">IF(OR('LT records'!$F280="MyF", 'LT records'!$F280="DEP"),"DEP",IF('LT records'!$F280="CSH","CSH",IF('LT records'!$F280="BON","BND",IF('LT records'!$F280="Sma","MKT",IF(OR('LT records'!$F280="Val", 'LT records'!$F280="EUR"),"FCY",IF('LT records'!$F280="X-P","PP3",IF('LT records'!$F280="X-m","XAU","???")))))))</f>
        <v>CSH</v>
      </c>
      <c r="H280" s="325" t="n">
        <f aca="false">14.94</f>
        <v>14.94</v>
      </c>
      <c r="I280" s="340" t="n">
        <f aca="false">0.2+0.2+0.4+0.17+0.51+0.34+0.17+0.17+0.17+0.17+0.34+0.51+0.34+0.33</f>
        <v>4.02</v>
      </c>
      <c r="J280" s="325"/>
      <c r="K280" s="340"/>
      <c r="L280" s="341" t="s">
        <v>422</v>
      </c>
      <c r="M280" s="350" t="str">
        <f aca="false">YEAR('LT records'!$B280)&amp;"-"&amp;MONTH('LT records'!$B280)</f>
        <v>2017-12</v>
      </c>
      <c r="N280" s="343" t="n">
        <f aca="false">'LT records'!$H280+'LT records'!$I280</f>
        <v>18.96</v>
      </c>
      <c r="O280" s="328"/>
      <c r="P280" s="328"/>
      <c r="Q280" s="326"/>
      <c r="T280" s="327"/>
    </row>
    <row r="281" customFormat="false" ht="12.8" hidden="false" customHeight="false" outlineLevel="0" collapsed="false">
      <c r="B281" s="351" t="n">
        <v>43076</v>
      </c>
      <c r="C281" s="348" t="n">
        <f aca="false">YEAR('LT records'!$B281)</f>
        <v>2017</v>
      </c>
      <c r="D281" s="346" t="str">
        <f aca="false">'LT records'!$C281&amp;"-"&amp;MONTH('LT records'!$B281)</f>
        <v>2017-12</v>
      </c>
      <c r="E281" s="324" t="s">
        <v>423</v>
      </c>
      <c r="F281" s="324" t="str">
        <f aca="false">LEFT('LT records'!$E281,3)</f>
        <v>Sma</v>
      </c>
      <c r="G281" s="324" t="str">
        <f aca="false">IF(OR('LT records'!$F281="MyF", 'LT records'!$F281="DEP"),"DEP",IF('LT records'!$F281="CSH","CSH",IF('LT records'!$F281="BON","BND",IF('LT records'!$F281="Sma","MKT",IF(OR('LT records'!$F281="Val", 'LT records'!$F281="EUR"),"FCY",IF('LT records'!$F281="X-P","PP3",IF('LT records'!$F281="X-m","XAU","???")))))))</f>
        <v>MKT</v>
      </c>
      <c r="H281" s="325" t="n">
        <v>600</v>
      </c>
      <c r="I281" s="340"/>
      <c r="J281" s="325"/>
      <c r="K281" s="340"/>
      <c r="L281" s="341" t="s">
        <v>424</v>
      </c>
      <c r="M281" s="350" t="str">
        <f aca="false">YEAR('LT records'!$B281)&amp;"-"&amp;MONTH('LT records'!$B281)</f>
        <v>2017-12</v>
      </c>
      <c r="N281" s="343" t="n">
        <f aca="false">'LT records'!$H281+'LT records'!$I281</f>
        <v>600</v>
      </c>
      <c r="O281" s="328"/>
      <c r="P281" s="328"/>
      <c r="Q281" s="326"/>
      <c r="T281" s="327"/>
    </row>
    <row r="282" customFormat="false" ht="12.8" hidden="false" customHeight="false" outlineLevel="0" collapsed="false">
      <c r="B282" s="351" t="n">
        <v>43083</v>
      </c>
      <c r="C282" s="348" t="n">
        <f aca="false">YEAR('LT records'!$B282)</f>
        <v>2017</v>
      </c>
      <c r="D282" s="346" t="str">
        <f aca="false">'LT records'!$C282&amp;"-"&amp;MONTH('LT records'!$B282)</f>
        <v>2017-12</v>
      </c>
      <c r="E282" s="324" t="s">
        <v>423</v>
      </c>
      <c r="F282" s="324" t="str">
        <f aca="false">LEFT('LT records'!$E282,3)</f>
        <v>Sma</v>
      </c>
      <c r="G282" s="324" t="str">
        <f aca="false">IF(OR('LT records'!$F282="MyF", 'LT records'!$F282="DEP"),"DEP",IF('LT records'!$F282="CSH","CSH",IF('LT records'!$F282="BON","BND",IF('LT records'!$F282="Sma","MKT",IF(OR('LT records'!$F282="Val", 'LT records'!$F282="EUR"),"FCY",IF('LT records'!$F282="X-P","PP3",IF('LT records'!$F282="X-m","XAU","???")))))))</f>
        <v>MKT</v>
      </c>
      <c r="H282" s="325" t="n">
        <v>600</v>
      </c>
      <c r="I282" s="340"/>
      <c r="J282" s="325"/>
      <c r="K282" s="340"/>
      <c r="L282" s="341" t="s">
        <v>425</v>
      </c>
      <c r="M282" s="350" t="str">
        <f aca="false">YEAR('LT records'!$B282)&amp;"-"&amp;MONTH('LT records'!$B282)</f>
        <v>2017-12</v>
      </c>
      <c r="N282" s="343" t="n">
        <f aca="false">'LT records'!$H282+'LT records'!$I282</f>
        <v>600</v>
      </c>
      <c r="O282" s="328"/>
      <c r="P282" s="328"/>
      <c r="Q282" s="326"/>
      <c r="T282" s="327"/>
    </row>
    <row r="283" customFormat="false" ht="12.8" hidden="false" customHeight="false" outlineLevel="0" collapsed="false">
      <c r="B283" s="351" t="n">
        <v>43087</v>
      </c>
      <c r="C283" s="348" t="n">
        <f aca="false">YEAR('LT records'!$B283)</f>
        <v>2017</v>
      </c>
      <c r="D283" s="346" t="str">
        <f aca="false">'LT records'!$C283&amp;"-"&amp;MONTH('LT records'!$B283)</f>
        <v>2017-12</v>
      </c>
      <c r="E283" s="324" t="s">
        <v>423</v>
      </c>
      <c r="F283" s="324" t="str">
        <f aca="false">LEFT('LT records'!$E283,3)</f>
        <v>Sma</v>
      </c>
      <c r="G283" s="324" t="str">
        <f aca="false">IF(OR('LT records'!$F283="MyF", 'LT records'!$F283="DEP"),"DEP",IF('LT records'!$F283="CSH","CSH",IF('LT records'!$F283="BON","BND",IF('LT records'!$F283="Sma","MKT",IF(OR('LT records'!$F283="Val", 'LT records'!$F283="EUR"),"FCY",IF('LT records'!$F283="X-P","PP3",IF('LT records'!$F283="X-m","XAU","???")))))))</f>
        <v>MKT</v>
      </c>
      <c r="H283" s="325" t="n">
        <v>1200</v>
      </c>
      <c r="I283" s="340"/>
      <c r="J283" s="325"/>
      <c r="K283" s="340"/>
      <c r="L283" s="341" t="s">
        <v>426</v>
      </c>
      <c r="M283" s="350" t="str">
        <f aca="false">YEAR('LT records'!$B283)&amp;"-"&amp;MONTH('LT records'!$B283)</f>
        <v>2017-12</v>
      </c>
      <c r="N283" s="343" t="n">
        <f aca="false">'LT records'!$H283+'LT records'!$I283</f>
        <v>1200</v>
      </c>
      <c r="O283" s="328"/>
      <c r="P283" s="328"/>
      <c r="Q283" s="326"/>
      <c r="T283" s="327"/>
    </row>
    <row r="284" customFormat="false" ht="12.8" hidden="false" customHeight="false" outlineLevel="0" collapsed="false">
      <c r="B284" s="351" t="n">
        <v>43090</v>
      </c>
      <c r="C284" s="348" t="n">
        <f aca="false">YEAR('LT records'!$B284)</f>
        <v>2017</v>
      </c>
      <c r="D284" s="346" t="str">
        <f aca="false">'LT records'!$C284&amp;"-"&amp;MONTH('LT records'!$B284)</f>
        <v>2017-12</v>
      </c>
      <c r="E284" s="324" t="s">
        <v>360</v>
      </c>
      <c r="F284" s="324" t="str">
        <f aca="false">LEFT('LT records'!$E284,3)</f>
        <v>MyF</v>
      </c>
      <c r="G284" s="324" t="str">
        <f aca="false">IF(OR('LT records'!$F284="MyF", 'LT records'!$F284="DEP"),"DEP",IF('LT records'!$F284="CSH","CSH",IF('LT records'!$F284="BON","BND",IF('LT records'!$F284="Sma","MKT",IF(OR('LT records'!$F284="Val", 'LT records'!$F284="EUR"),"FCY",IF('LT records'!$F284="X-P","PP3",IF('LT records'!$F284="X-m","XAU","???")))))))</f>
        <v>DEP</v>
      </c>
      <c r="H284" s="325" t="n">
        <v>-10168.91</v>
      </c>
      <c r="I284" s="340" t="n">
        <f aca="false">60.87-9.74</f>
        <v>51.13</v>
      </c>
      <c r="J284" s="325"/>
      <c r="K284" s="340"/>
      <c r="L284" s="341" t="s">
        <v>427</v>
      </c>
      <c r="M284" s="350" t="str">
        <f aca="false">YEAR('LT records'!$B284)&amp;"-"&amp;MONTH('LT records'!$B284)</f>
        <v>2017-12</v>
      </c>
      <c r="N284" s="343" t="n">
        <f aca="false">'LT records'!$H284+'LT records'!$I284</f>
        <v>-10117.78</v>
      </c>
      <c r="O284" s="328"/>
      <c r="P284" s="328"/>
      <c r="Q284" s="326"/>
      <c r="T284" s="327"/>
    </row>
    <row r="285" customFormat="false" ht="12.8" hidden="false" customHeight="false" outlineLevel="0" collapsed="false">
      <c r="B285" s="351" t="n">
        <v>43090</v>
      </c>
      <c r="C285" s="348" t="n">
        <f aca="false">YEAR('LT records'!$B285)</f>
        <v>2017</v>
      </c>
      <c r="D285" s="346" t="str">
        <f aca="false">'LT records'!$C285&amp;"-"&amp;MONTH('LT records'!$B285)</f>
        <v>2017-12</v>
      </c>
      <c r="E285" s="324" t="s">
        <v>14</v>
      </c>
      <c r="F285" s="324" t="str">
        <f aca="false">LEFT('LT records'!$E285,3)</f>
        <v>CSH</v>
      </c>
      <c r="G285" s="324" t="str">
        <f aca="false">IF(OR('LT records'!$F285="MyF", 'LT records'!$F285="DEP"),"DEP",IF('LT records'!$F285="CSH","CSH",IF('LT records'!$F285="BON","BND",IF('LT records'!$F285="Sma","MKT",IF(OR('LT records'!$F285="Val", 'LT records'!$F285="EUR"),"FCY",IF('LT records'!$F285="X-P","PP3",IF('LT records'!$F285="X-m","XAU","???")))))))</f>
        <v>CSH</v>
      </c>
      <c r="H285" s="325" t="n">
        <v>11012.57</v>
      </c>
      <c r="I285" s="340" t="n">
        <f aca="false">0.99</f>
        <v>0.99</v>
      </c>
      <c r="J285" s="325"/>
      <c r="K285" s="340"/>
      <c r="L285" s="341" t="s">
        <v>427</v>
      </c>
      <c r="M285" s="350" t="str">
        <f aca="false">YEAR('LT records'!$B285)&amp;"-"&amp;MONTH('LT records'!$B285)</f>
        <v>2017-12</v>
      </c>
      <c r="N285" s="343" t="n">
        <f aca="false">'LT records'!$H285+'LT records'!$I285</f>
        <v>11013.56</v>
      </c>
      <c r="O285" s="328"/>
      <c r="P285" s="328"/>
      <c r="Q285" s="326"/>
      <c r="T285" s="327"/>
    </row>
    <row r="286" customFormat="false" ht="12.8" hidden="false" customHeight="false" outlineLevel="0" collapsed="false">
      <c r="B286" s="351" t="n">
        <v>43096</v>
      </c>
      <c r="C286" s="348" t="n">
        <f aca="false">YEAR('LT records'!$B286)</f>
        <v>2017</v>
      </c>
      <c r="D286" s="346" t="str">
        <f aca="false">'LT records'!$C286&amp;"-"&amp;MONTH('LT records'!$B286)</f>
        <v>2017-12</v>
      </c>
      <c r="E286" s="324" t="s">
        <v>350</v>
      </c>
      <c r="F286" s="324" t="str">
        <f aca="false">LEFT('LT records'!$E286,3)</f>
        <v>MyF</v>
      </c>
      <c r="G286" s="324" t="str">
        <f aca="false">IF(OR('LT records'!$F286="MyF", 'LT records'!$F286="DEP"),"DEP",IF('LT records'!$F286="CSH","CSH",IF('LT records'!$F286="BON","BND",IF('LT records'!$F286="Sma","MKT",IF(OR('LT records'!$F286="Val", 'LT records'!$F286="EUR"),"FCY",IF('LT records'!$F286="X-P","PP3",IF('LT records'!$F286="X-m","XAU","???")))))))</f>
        <v>DEP</v>
      </c>
      <c r="H286" s="325" t="n">
        <v>-10428.34</v>
      </c>
      <c r="I286" s="340" t="n">
        <f aca="false">154.47-24.72</f>
        <v>129.75</v>
      </c>
      <c r="J286" s="325"/>
      <c r="K286" s="340"/>
      <c r="L286" s="341" t="s">
        <v>427</v>
      </c>
      <c r="M286" s="350" t="str">
        <f aca="false">YEAR('LT records'!$B286)&amp;"-"&amp;MONTH('LT records'!$B286)</f>
        <v>2017-12</v>
      </c>
      <c r="N286" s="343" t="n">
        <f aca="false">'LT records'!$H286+'LT records'!$I286</f>
        <v>-10298.59</v>
      </c>
      <c r="O286" s="328"/>
      <c r="P286" s="328"/>
      <c r="Q286" s="326"/>
      <c r="T286" s="327"/>
    </row>
    <row r="287" customFormat="false" ht="12.8" hidden="false" customHeight="false" outlineLevel="0" collapsed="false">
      <c r="B287" s="351" t="n">
        <v>43096</v>
      </c>
      <c r="C287" s="348" t="n">
        <f aca="false">YEAR('LT records'!$B287)</f>
        <v>2017</v>
      </c>
      <c r="D287" s="346" t="str">
        <f aca="false">'LT records'!$C287&amp;"-"&amp;MONTH('LT records'!$B287)</f>
        <v>2017-12</v>
      </c>
      <c r="E287" s="324" t="s">
        <v>14</v>
      </c>
      <c r="F287" s="324" t="str">
        <f aca="false">LEFT('LT records'!$E287,3)</f>
        <v>CSH</v>
      </c>
      <c r="G287" s="324" t="str">
        <f aca="false">IF(OR('LT records'!$F287="MyF", 'LT records'!$F287="DEP"),"DEP",IF('LT records'!$F287="CSH","CSH",IF('LT records'!$F287="BON","BND",IF('LT records'!$F287="Sma","MKT",IF(OR('LT records'!$F287="Val", 'LT records'!$F287="EUR"),"FCY",IF('LT records'!$F287="X-P","PP3",IF('LT records'!$F287="X-m","XAU","???")))))))</f>
        <v>CSH</v>
      </c>
      <c r="H287" s="325" t="n">
        <v>10428.43</v>
      </c>
      <c r="I287" s="340" t="n">
        <v>0.66</v>
      </c>
      <c r="J287" s="325"/>
      <c r="K287" s="340"/>
      <c r="L287" s="341" t="s">
        <v>427</v>
      </c>
      <c r="M287" s="350" t="str">
        <f aca="false">YEAR('LT records'!$B287)&amp;"-"&amp;MONTH('LT records'!$B287)</f>
        <v>2017-12</v>
      </c>
      <c r="N287" s="343" t="n">
        <f aca="false">'LT records'!$H287+'LT records'!$I287</f>
        <v>10429.09</v>
      </c>
      <c r="O287" s="328"/>
      <c r="P287" s="328"/>
      <c r="Q287" s="326"/>
      <c r="T287" s="327"/>
    </row>
    <row r="288" customFormat="false" ht="12.8" hidden="false" customHeight="false" outlineLevel="0" collapsed="false">
      <c r="B288" s="351" t="n">
        <v>43094</v>
      </c>
      <c r="C288" s="348" t="n">
        <f aca="false">YEAR('LT records'!$B288)</f>
        <v>2017</v>
      </c>
      <c r="D288" s="346" t="str">
        <f aca="false">'LT records'!$C288&amp;"-"&amp;MONTH('LT records'!$B288)</f>
        <v>2017-12</v>
      </c>
      <c r="E288" s="324" t="s">
        <v>318</v>
      </c>
      <c r="F288" s="324" t="str">
        <f aca="false">LEFT('LT records'!$E288,3)</f>
        <v>X-P</v>
      </c>
      <c r="G288" s="324" t="str">
        <f aca="false">IF(OR('LT records'!$F288="MyF", 'LT records'!$F288="DEP"),"DEP",IF('LT records'!$F288="CSH","CSH",IF('LT records'!$F288="BON","BND",IF('LT records'!$F288="Sma","MKT",IF(OR('LT records'!$F288="Val", 'LT records'!$F288="EUR"),"FCY",IF('LT records'!$F288="X-P","PP3",IF('LT records'!$F288="X-m","XAU","???")))))))</f>
        <v>PP3</v>
      </c>
      <c r="H288" s="325" t="n">
        <v>420</v>
      </c>
      <c r="I288" s="340"/>
      <c r="J288" s="325"/>
      <c r="K288" s="340"/>
      <c r="L288" s="341" t="s">
        <v>428</v>
      </c>
      <c r="M288" s="350" t="str">
        <f aca="false">YEAR('LT records'!$B288)&amp;"-"&amp;MONTH('LT records'!$B288)</f>
        <v>2017-12</v>
      </c>
      <c r="N288" s="343" t="n">
        <f aca="false">'LT records'!$H288+'LT records'!$I288</f>
        <v>420</v>
      </c>
      <c r="O288" s="328"/>
      <c r="P288" s="328"/>
      <c r="Q288" s="326"/>
      <c r="T288" s="327"/>
    </row>
    <row r="289" customFormat="false" ht="12.8" hidden="false" customHeight="false" outlineLevel="0" collapsed="false">
      <c r="B289" s="351" t="n">
        <v>43094</v>
      </c>
      <c r="C289" s="348" t="n">
        <f aca="false">YEAR('LT records'!$B289)</f>
        <v>2017</v>
      </c>
      <c r="D289" s="346" t="str">
        <f aca="false">'LT records'!$C289&amp;"-"&amp;MONTH('LT records'!$B289)</f>
        <v>2017-12</v>
      </c>
      <c r="E289" s="324" t="s">
        <v>423</v>
      </c>
      <c r="F289" s="324" t="str">
        <f aca="false">LEFT('LT records'!$E289,3)</f>
        <v>Sma</v>
      </c>
      <c r="G289" s="324" t="str">
        <f aca="false">IF(OR('LT records'!$F289="MyF", 'LT records'!$F289="DEP"),"DEP",IF('LT records'!$F289="CSH","CSH",IF('LT records'!$F289="BON","BND",IF('LT records'!$F289="Sma","MKT",IF(OR('LT records'!$F289="Val", 'LT records'!$F289="EUR"),"FCY",IF('LT records'!$F289="X-P","PP3",IF('LT records'!$F289="X-m","XAU","???")))))))</f>
        <v>MKT</v>
      </c>
      <c r="H289" s="325" t="n">
        <v>1100</v>
      </c>
      <c r="I289" s="340"/>
      <c r="J289" s="325"/>
      <c r="K289" s="340"/>
      <c r="L289" s="341" t="s">
        <v>429</v>
      </c>
      <c r="M289" s="350" t="str">
        <f aca="false">YEAR('LT records'!$B289)&amp;"-"&amp;MONTH('LT records'!$B289)</f>
        <v>2017-12</v>
      </c>
      <c r="N289" s="343" t="n">
        <f aca="false">'LT records'!$H289+'LT records'!$I289</f>
        <v>1100</v>
      </c>
      <c r="O289" s="328"/>
      <c r="P289" s="328"/>
      <c r="Q289" s="326"/>
      <c r="T289" s="327"/>
    </row>
    <row r="290" customFormat="false" ht="12.8" hidden="false" customHeight="false" outlineLevel="0" collapsed="false">
      <c r="B290" s="351" t="n">
        <v>43097</v>
      </c>
      <c r="C290" s="348" t="n">
        <f aca="false">YEAR('LT records'!$B290)</f>
        <v>2017</v>
      </c>
      <c r="D290" s="346" t="str">
        <f aca="false">'LT records'!$C290&amp;"-"&amp;MONTH('LT records'!$B290)</f>
        <v>2017-12</v>
      </c>
      <c r="E290" s="324" t="s">
        <v>14</v>
      </c>
      <c r="F290" s="324" t="str">
        <f aca="false">LEFT('LT records'!$E290,3)</f>
        <v>CSH</v>
      </c>
      <c r="G290" s="324" t="str">
        <f aca="false">IF(OR('LT records'!$F290="MyF", 'LT records'!$F290="DEP"),"DEP",IF('LT records'!$F290="CSH","CSH",IF('LT records'!$F290="BON","BND",IF('LT records'!$F290="Sma","MKT",IF(OR('LT records'!$F290="Val", 'LT records'!$F290="EUR"),"FCY",IF('LT records'!$F290="X-P","PP3",IF('LT records'!$F290="X-m","XAU","???")))))))</f>
        <v>CSH</v>
      </c>
      <c r="H290" s="325" t="n">
        <v>50</v>
      </c>
      <c r="I290" s="340" t="n">
        <f aca="false">0.49</f>
        <v>0.49</v>
      </c>
      <c r="J290" s="325"/>
      <c r="K290" s="340"/>
      <c r="L290" s="341" t="s">
        <v>430</v>
      </c>
      <c r="M290" s="350" t="str">
        <f aca="false">YEAR('LT records'!$B290)&amp;"-"&amp;MONTH('LT records'!$B290)</f>
        <v>2017-12</v>
      </c>
      <c r="N290" s="343" t="n">
        <f aca="false">'LT records'!$H290+'LT records'!$I290</f>
        <v>50.49</v>
      </c>
      <c r="O290" s="328"/>
      <c r="P290" s="328"/>
      <c r="Q290" s="326"/>
      <c r="T290" s="327"/>
    </row>
    <row r="291" customFormat="false" ht="12.8" hidden="false" customHeight="false" outlineLevel="0" collapsed="false">
      <c r="B291" s="351" t="n">
        <v>43098</v>
      </c>
      <c r="C291" s="348" t="n">
        <f aca="false">YEAR('LT records'!$B291)</f>
        <v>2017</v>
      </c>
      <c r="D291" s="346" t="str">
        <f aca="false">'LT records'!$C291&amp;"-"&amp;MONTH('LT records'!$B291)</f>
        <v>2017-12</v>
      </c>
      <c r="E291" s="324" t="s">
        <v>363</v>
      </c>
      <c r="F291" s="324" t="str">
        <f aca="false">LEFT('LT records'!$E291,3)</f>
        <v>MyF</v>
      </c>
      <c r="G291" s="324" t="str">
        <f aca="false">IF(OR('LT records'!$F291="MyF", 'LT records'!$F291="DEP"),"DEP",IF('LT records'!$F291="CSH","CSH",IF('LT records'!$F291="BON","BND",IF('LT records'!$F291="Sma","MKT",IF(OR('LT records'!$F291="Val", 'LT records'!$F291="EUR"),"FCY",IF('LT records'!$F291="X-P","PP3",IF('LT records'!$F291="X-m","XAU","???")))))))</f>
        <v>DEP</v>
      </c>
      <c r="H291" s="325" t="n">
        <v>-10128.61</v>
      </c>
      <c r="I291" s="340" t="n">
        <f aca="false">150.03-24</f>
        <v>126.03</v>
      </c>
      <c r="J291" s="325"/>
      <c r="K291" s="340"/>
      <c r="L291" s="341" t="s">
        <v>427</v>
      </c>
      <c r="M291" s="350" t="str">
        <f aca="false">YEAR('LT records'!$B291)&amp;"-"&amp;MONTH('LT records'!$B291)</f>
        <v>2017-12</v>
      </c>
      <c r="N291" s="343" t="n">
        <f aca="false">'LT records'!$H291+'LT records'!$I291</f>
        <v>-10002.58</v>
      </c>
      <c r="O291" s="328"/>
      <c r="P291" s="328"/>
      <c r="Q291" s="326"/>
      <c r="T291" s="327"/>
    </row>
    <row r="292" customFormat="false" ht="12.8" hidden="false" customHeight="false" outlineLevel="0" collapsed="false">
      <c r="B292" s="351" t="n">
        <v>43098</v>
      </c>
      <c r="C292" s="348" t="n">
        <f aca="false">YEAR('LT records'!$B292)</f>
        <v>2017</v>
      </c>
      <c r="D292" s="346" t="str">
        <f aca="false">'LT records'!$C292&amp;"-"&amp;MONTH('LT records'!$B292)</f>
        <v>2017-12</v>
      </c>
      <c r="E292" s="324" t="s">
        <v>14</v>
      </c>
      <c r="F292" s="324" t="str">
        <f aca="false">LEFT('LT records'!$E292,3)</f>
        <v>CSH</v>
      </c>
      <c r="G292" s="324" t="str">
        <f aca="false">IF(OR('LT records'!$F292="MyF", 'LT records'!$F292="DEP"),"DEP",IF('LT records'!$F292="CSH","CSH",IF('LT records'!$F292="BON","BND",IF('LT records'!$F292="Sma","MKT",IF(OR('LT records'!$F292="Val", 'LT records'!$F292="EUR"),"FCY",IF('LT records'!$F292="X-P","PP3",IF('LT records'!$F292="X-m","XAU","???")))))))</f>
        <v>CSH</v>
      </c>
      <c r="H292" s="325" t="n">
        <v>10128.61</v>
      </c>
      <c r="I292" s="340" t="n">
        <f aca="false">0.49+0.64</f>
        <v>1.13</v>
      </c>
      <c r="J292" s="325"/>
      <c r="K292" s="340"/>
      <c r="L292" s="341" t="s">
        <v>427</v>
      </c>
      <c r="M292" s="350" t="str">
        <f aca="false">YEAR('LT records'!$B292)&amp;"-"&amp;MONTH('LT records'!$B292)</f>
        <v>2017-12</v>
      </c>
      <c r="N292" s="343" t="n">
        <f aca="false">'LT records'!$H292+'LT records'!$I292</f>
        <v>10129.74</v>
      </c>
      <c r="O292" s="328"/>
      <c r="P292" s="328"/>
      <c r="Q292" s="326"/>
      <c r="T292" s="327"/>
    </row>
    <row r="293" customFormat="false" ht="12.8" hidden="false" customHeight="false" outlineLevel="0" collapsed="false">
      <c r="B293" s="351" t="n">
        <v>43086</v>
      </c>
      <c r="C293" s="348" t="n">
        <f aca="false">YEAR('LT records'!$B293)</f>
        <v>2017</v>
      </c>
      <c r="D293" s="346" t="str">
        <f aca="false">'LT records'!$C293&amp;"-"&amp;MONTH('LT records'!$B293)</f>
        <v>2017-12</v>
      </c>
      <c r="E293" s="324" t="s">
        <v>318</v>
      </c>
      <c r="F293" s="324" t="str">
        <f aca="false">LEFT('LT records'!$E293,3)</f>
        <v>X-P</v>
      </c>
      <c r="G293" s="324" t="str">
        <f aca="false">IF(OR('LT records'!$F293="MyF", 'LT records'!$F293="DEP"),"DEP",IF('LT records'!$F293="CSH","CSH",IF('LT records'!$F293="BON","BND",IF('LT records'!$F293="Sma","MKT",IF(OR('LT records'!$F293="Val", 'LT records'!$F293="EUR"),"FCY",IF('LT records'!$F293="X-P","PP3",IF('LT records'!$F293="X-m","XAU","???")))))))</f>
        <v>PP3</v>
      </c>
      <c r="H293" s="325" t="n">
        <v>150</v>
      </c>
      <c r="I293" s="340"/>
      <c r="J293" s="325"/>
      <c r="K293" s="340"/>
      <c r="L293" s="341" t="s">
        <v>431</v>
      </c>
      <c r="M293" s="350" t="str">
        <f aca="false">YEAR('LT records'!$B293)&amp;"-"&amp;MONTH('LT records'!$B293)</f>
        <v>2017-12</v>
      </c>
      <c r="N293" s="343" t="n">
        <f aca="false">'LT records'!$H293+'LT records'!$I293</f>
        <v>150</v>
      </c>
      <c r="O293" s="328"/>
      <c r="P293" s="328"/>
      <c r="Q293" s="326"/>
      <c r="T293" s="327"/>
    </row>
    <row r="294" customFormat="false" ht="12.8" hidden="false" customHeight="false" outlineLevel="0" collapsed="false">
      <c r="B294" s="351" t="n">
        <v>43103</v>
      </c>
      <c r="C294" s="348" t="n">
        <f aca="false">YEAR('LT records'!$B294)</f>
        <v>2018</v>
      </c>
      <c r="D294" s="346" t="str">
        <f aca="false">'LT records'!$C294&amp;"-"&amp;MONTH('LT records'!$B294)</f>
        <v>2018-1</v>
      </c>
      <c r="E294" s="324" t="s">
        <v>14</v>
      </c>
      <c r="F294" s="324" t="str">
        <f aca="false">LEFT('LT records'!$E294,3)</f>
        <v>CSH</v>
      </c>
      <c r="G294" s="324" t="str">
        <f aca="false">IF(OR('LT records'!$F294="MyF", 'LT records'!$F294="DEP"),"DEP",IF('LT records'!$F294="CSH","CSH",IF('LT records'!$F294="BON","BND",IF('LT records'!$F294="Sma","MKT",IF(OR('LT records'!$F294="Val", 'LT records'!$F294="EUR"),"FCY",IF('LT records'!$F294="X-P","PP3",IF('LT records'!$F294="X-m","XAU","???")))))))</f>
        <v>CSH</v>
      </c>
      <c r="H294" s="325" t="n">
        <v>-5000</v>
      </c>
      <c r="I294" s="340" t="n">
        <f aca="false">1.92+0.64+2.92+3.6</f>
        <v>9.08</v>
      </c>
      <c r="J294" s="325"/>
      <c r="K294" s="340"/>
      <c r="L294" s="341" t="s">
        <v>432</v>
      </c>
      <c r="M294" s="350" t="str">
        <f aca="false">YEAR('LT records'!$B294)&amp;"-"&amp;MONTH('LT records'!$B294)</f>
        <v>2018-1</v>
      </c>
      <c r="N294" s="343" t="n">
        <f aca="false">'LT records'!$H294+'LT records'!$I294</f>
        <v>-4990.92</v>
      </c>
      <c r="O294" s="341"/>
      <c r="P294" s="341"/>
      <c r="R294" s="326"/>
      <c r="U294" s="327"/>
    </row>
    <row r="295" customFormat="false" ht="12.8" hidden="false" customHeight="false" outlineLevel="0" collapsed="false">
      <c r="B295" s="351" t="n">
        <v>43103</v>
      </c>
      <c r="C295" s="348" t="n">
        <f aca="false">YEAR('LT records'!$B295)</f>
        <v>2018</v>
      </c>
      <c r="D295" s="346" t="str">
        <f aca="false">'LT records'!$C295&amp;"-"&amp;MONTH('LT records'!$B295)</f>
        <v>2018-1</v>
      </c>
      <c r="E295" s="324" t="s">
        <v>291</v>
      </c>
      <c r="F295" s="324" t="str">
        <f aca="false">LEFT('LT records'!$E295,3)</f>
        <v>DEP</v>
      </c>
      <c r="G295" s="324" t="str">
        <f aca="false">IF(OR('LT records'!$F295="MyF", 'LT records'!$F295="DEP"),"DEP",IF('LT records'!$F295="CSH","CSH",IF('LT records'!$F295="BON","BND",IF('LT records'!$F295="Sma","MKT",IF(OR('LT records'!$F295="Val", 'LT records'!$F295="EUR"),"FCY",IF('LT records'!$F295="X-P","PP3",IF('LT records'!$F295="X-m","XAU","???")))))))</f>
        <v>DEP</v>
      </c>
      <c r="H295" s="325" t="n">
        <v>5000</v>
      </c>
      <c r="I295" s="340"/>
      <c r="J295" s="325"/>
      <c r="K295" s="340"/>
      <c r="L295" s="341" t="s">
        <v>433</v>
      </c>
      <c r="M295" s="350" t="str">
        <f aca="false">YEAR('LT records'!$B295)&amp;"-"&amp;MONTH('LT records'!$B295)</f>
        <v>2018-1</v>
      </c>
      <c r="N295" s="343" t="n">
        <f aca="false">'LT records'!$H295+'LT records'!$I295</f>
        <v>5000</v>
      </c>
      <c r="O295" s="341"/>
      <c r="P295" s="341"/>
      <c r="R295" s="326"/>
      <c r="U295" s="327"/>
    </row>
    <row r="296" customFormat="false" ht="12.8" hidden="false" customHeight="false" outlineLevel="0" collapsed="false">
      <c r="B296" s="351" t="n">
        <v>43103</v>
      </c>
      <c r="C296" s="348" t="n">
        <f aca="false">YEAR('LT records'!$B296)</f>
        <v>2018</v>
      </c>
      <c r="D296" s="346" t="str">
        <f aca="false">'LT records'!$C296&amp;"-"&amp;MONTH('LT records'!$B296)</f>
        <v>2018-1</v>
      </c>
      <c r="E296" s="324" t="s">
        <v>423</v>
      </c>
      <c r="F296" s="324" t="str">
        <f aca="false">LEFT('LT records'!$E296,3)</f>
        <v>Sma</v>
      </c>
      <c r="G296" s="324" t="str">
        <f aca="false">IF(OR('LT records'!$F296="MyF", 'LT records'!$F296="DEP"),"DEP",IF('LT records'!$F296="CSH","CSH",IF('LT records'!$F296="BON","BND",IF('LT records'!$F296="Sma","MKT",IF(OR('LT records'!$F296="Val", 'LT records'!$F296="EUR"),"FCY",IF('LT records'!$F296="X-P","PP3",IF('LT records'!$F296="X-m","XAU","???")))))))</f>
        <v>MKT</v>
      </c>
      <c r="H296" s="325" t="n">
        <v>1000</v>
      </c>
      <c r="I296" s="340"/>
      <c r="J296" s="325"/>
      <c r="K296" s="340"/>
      <c r="L296" s="341" t="s">
        <v>434</v>
      </c>
      <c r="M296" s="350" t="str">
        <f aca="false">YEAR('LT records'!$B296)&amp;"-"&amp;MONTH('LT records'!$B296)</f>
        <v>2018-1</v>
      </c>
      <c r="N296" s="343" t="n">
        <f aca="false">'LT records'!$H296+'LT records'!$I296</f>
        <v>1000</v>
      </c>
      <c r="O296" s="341"/>
      <c r="P296" s="341"/>
      <c r="R296" s="326"/>
      <c r="U296" s="327"/>
    </row>
    <row r="297" customFormat="false" ht="12.8" hidden="false" customHeight="false" outlineLevel="0" collapsed="false">
      <c r="B297" s="351" t="n">
        <v>43111</v>
      </c>
      <c r="C297" s="348" t="n">
        <f aca="false">YEAR('LT records'!$B297)</f>
        <v>2018</v>
      </c>
      <c r="D297" s="346" t="str">
        <f aca="false">'LT records'!$C297&amp;"-"&amp;MONTH('LT records'!$B297)</f>
        <v>2018-1</v>
      </c>
      <c r="E297" s="324" t="s">
        <v>423</v>
      </c>
      <c r="F297" s="324" t="str">
        <f aca="false">LEFT('LT records'!$E297,3)</f>
        <v>Sma</v>
      </c>
      <c r="G297" s="324" t="str">
        <f aca="false">IF(OR('LT records'!$F297="MyF", 'LT records'!$F297="DEP"),"DEP",IF('LT records'!$F297="CSH","CSH",IF('LT records'!$F297="BON","BND",IF('LT records'!$F297="Sma","MKT",IF(OR('LT records'!$F297="Val", 'LT records'!$F297="EUR"),"FCY",IF('LT records'!$F297="X-P","PP3",IF('LT records'!$F297="X-m","XAU","???")))))))</f>
        <v>MKT</v>
      </c>
      <c r="H297" s="325" t="n">
        <v>1000</v>
      </c>
      <c r="I297" s="340"/>
      <c r="J297" s="325"/>
      <c r="K297" s="340"/>
      <c r="L297" s="341" t="s">
        <v>434</v>
      </c>
      <c r="M297" s="350" t="str">
        <f aca="false">YEAR('LT records'!$B297)&amp;"-"&amp;MONTH('LT records'!$B297)</f>
        <v>2018-1</v>
      </c>
      <c r="N297" s="343" t="n">
        <f aca="false">'LT records'!$H297+'LT records'!$I297</f>
        <v>1000</v>
      </c>
      <c r="O297" s="341"/>
      <c r="P297" s="341"/>
      <c r="R297" s="326"/>
      <c r="U297" s="327"/>
    </row>
    <row r="298" customFormat="false" ht="12.8" hidden="false" customHeight="false" outlineLevel="0" collapsed="false">
      <c r="B298" s="351" t="n">
        <v>43116</v>
      </c>
      <c r="C298" s="348" t="n">
        <f aca="false">YEAR('LT records'!$B298)</f>
        <v>2018</v>
      </c>
      <c r="D298" s="346" t="str">
        <f aca="false">'LT records'!$C298&amp;"-"&amp;MONTH('LT records'!$B298)</f>
        <v>2018-1</v>
      </c>
      <c r="E298" s="324" t="s">
        <v>318</v>
      </c>
      <c r="F298" s="324" t="str">
        <f aca="false">LEFT('LT records'!$E298,3)</f>
        <v>X-P</v>
      </c>
      <c r="G298" s="324" t="str">
        <f aca="false">IF(OR('LT records'!$F298="MyF", 'LT records'!$F298="DEP"),"DEP",IF('LT records'!$F298="CSH","CSH",IF('LT records'!$F298="BON","BND",IF('LT records'!$F298="Sma","MKT",IF(OR('LT records'!$F298="Val", 'LT records'!$F298="EUR"),"FCY",IF('LT records'!$F298="X-P","PP3",IF('LT records'!$F298="X-m","XAU","???")))))))</f>
        <v>PP3</v>
      </c>
      <c r="H298" s="325" t="n">
        <v>150</v>
      </c>
      <c r="I298" s="340"/>
      <c r="J298" s="325"/>
      <c r="K298" s="340"/>
      <c r="L298" s="341" t="s">
        <v>431</v>
      </c>
      <c r="M298" s="350" t="str">
        <f aca="false">YEAR('LT records'!$B298)&amp;"-"&amp;MONTH('LT records'!$B298)</f>
        <v>2018-1</v>
      </c>
      <c r="N298" s="343" t="n">
        <f aca="false">'LT records'!$H298+'LT records'!$I298</f>
        <v>150</v>
      </c>
      <c r="O298" s="341"/>
      <c r="P298" s="341"/>
      <c r="R298" s="326"/>
      <c r="U298" s="327"/>
    </row>
    <row r="299" customFormat="false" ht="12.8" hidden="false" customHeight="false" outlineLevel="0" collapsed="false">
      <c r="B299" s="351" t="n">
        <v>43118</v>
      </c>
      <c r="C299" s="348" t="n">
        <f aca="false">YEAR('LT records'!$B299)</f>
        <v>2018</v>
      </c>
      <c r="D299" s="346" t="str">
        <f aca="false">'LT records'!$C299&amp;"-"&amp;MONTH('LT records'!$B299)</f>
        <v>2018-1</v>
      </c>
      <c r="E299" s="324" t="s">
        <v>423</v>
      </c>
      <c r="F299" s="324" t="str">
        <f aca="false">LEFT('LT records'!$E299,3)</f>
        <v>Sma</v>
      </c>
      <c r="G299" s="324" t="str">
        <f aca="false">IF(OR('LT records'!$F299="MyF", 'LT records'!$F299="DEP"),"DEP",IF('LT records'!$F299="CSH","CSH",IF('LT records'!$F299="BON","BND",IF('LT records'!$F299="Sma","MKT",IF(OR('LT records'!$F299="Val", 'LT records'!$F299="EUR"),"FCY",IF('LT records'!$F299="X-P","PP3",IF('LT records'!$F299="X-m","XAU","???")))))))</f>
        <v>MKT</v>
      </c>
      <c r="H299" s="325" t="n">
        <v>1000</v>
      </c>
      <c r="I299" s="340"/>
      <c r="J299" s="325"/>
      <c r="K299" s="340"/>
      <c r="L299" s="341" t="s">
        <v>434</v>
      </c>
      <c r="M299" s="350" t="str">
        <f aca="false">YEAR('LT records'!$B299)&amp;"-"&amp;MONTH('LT records'!$B299)</f>
        <v>2018-1</v>
      </c>
      <c r="N299" s="343" t="n">
        <f aca="false">'LT records'!$H299+'LT records'!$I299</f>
        <v>1000</v>
      </c>
      <c r="O299" s="341"/>
      <c r="P299" s="341"/>
      <c r="R299" s="326"/>
      <c r="U299" s="327"/>
    </row>
    <row r="300" customFormat="false" ht="12.8" hidden="false" customHeight="false" outlineLevel="0" collapsed="false">
      <c r="B300" s="351" t="n">
        <v>43125</v>
      </c>
      <c r="C300" s="348" t="n">
        <f aca="false">YEAR('LT records'!$B300)</f>
        <v>2018</v>
      </c>
      <c r="D300" s="346" t="str">
        <f aca="false">'LT records'!$C300&amp;"-"&amp;MONTH('LT records'!$B300)</f>
        <v>2018-1</v>
      </c>
      <c r="E300" s="324" t="s">
        <v>423</v>
      </c>
      <c r="F300" s="324" t="str">
        <f aca="false">LEFT('LT records'!$E300,3)</f>
        <v>Sma</v>
      </c>
      <c r="G300" s="324" t="str">
        <f aca="false">IF(OR('LT records'!$F300="MyF", 'LT records'!$F300="DEP"),"DEP",IF('LT records'!$F300="CSH","CSH",IF('LT records'!$F300="BON","BND",IF('LT records'!$F300="Sma","MKT",IF(OR('LT records'!$F300="Val", 'LT records'!$F300="EUR"),"FCY",IF('LT records'!$F300="X-P","PP3",IF('LT records'!$F300="X-m","XAU","???")))))))</f>
        <v>MKT</v>
      </c>
      <c r="H300" s="325" t="n">
        <v>1100</v>
      </c>
      <c r="I300" s="340"/>
      <c r="J300" s="325"/>
      <c r="K300" s="340"/>
      <c r="L300" s="341" t="s">
        <v>435</v>
      </c>
      <c r="M300" s="350" t="str">
        <f aca="false">YEAR('LT records'!$B300)&amp;"-"&amp;MONTH('LT records'!$B300)</f>
        <v>2018-1</v>
      </c>
      <c r="N300" s="343" t="n">
        <f aca="false">'LT records'!$H300+'LT records'!$I300</f>
        <v>1100</v>
      </c>
      <c r="O300" s="341"/>
      <c r="P300" s="341"/>
      <c r="R300" s="326"/>
      <c r="U300" s="327"/>
    </row>
    <row r="301" customFormat="false" ht="12.8" hidden="false" customHeight="false" outlineLevel="0" collapsed="false">
      <c r="B301" s="351" t="n">
        <v>43125</v>
      </c>
      <c r="C301" s="348" t="n">
        <f aca="false">YEAR('LT records'!$B301)</f>
        <v>2018</v>
      </c>
      <c r="D301" s="346" t="str">
        <f aca="false">'LT records'!$C301&amp;"-"&amp;MONTH('LT records'!$B301)</f>
        <v>2018-1</v>
      </c>
      <c r="E301" s="324" t="s">
        <v>318</v>
      </c>
      <c r="F301" s="324" t="str">
        <f aca="false">LEFT('LT records'!$E301,3)</f>
        <v>X-P</v>
      </c>
      <c r="G301" s="324" t="str">
        <f aca="false">IF(OR('LT records'!$F301="MyF", 'LT records'!$F301="DEP"),"DEP",IF('LT records'!$F301="CSH","CSH",IF('LT records'!$F301="BON","BND",IF('LT records'!$F301="Sma","MKT",IF(OR('LT records'!$F301="Val", 'LT records'!$F301="EUR"),"FCY",IF('LT records'!$F301="X-P","PP3",IF('LT records'!$F301="X-m","XAU","???")))))))</f>
        <v>PP3</v>
      </c>
      <c r="H301" s="325" t="n">
        <v>420</v>
      </c>
      <c r="I301" s="340"/>
      <c r="J301" s="325"/>
      <c r="K301" s="340"/>
      <c r="L301" s="341" t="s">
        <v>428</v>
      </c>
      <c r="M301" s="350" t="str">
        <f aca="false">YEAR('LT records'!$B301)&amp;"-"&amp;MONTH('LT records'!$B301)</f>
        <v>2018-1</v>
      </c>
      <c r="N301" s="343" t="n">
        <f aca="false">'LT records'!$H301+'LT records'!$I301</f>
        <v>420</v>
      </c>
      <c r="O301" s="341"/>
      <c r="P301" s="341"/>
      <c r="R301" s="326"/>
      <c r="U301" s="327"/>
    </row>
    <row r="302" customFormat="false" ht="12.8" hidden="false" customHeight="false" outlineLevel="0" collapsed="false">
      <c r="B302" s="351" t="n">
        <v>43125</v>
      </c>
      <c r="C302" s="348" t="n">
        <f aca="false">YEAR('LT records'!$B302)</f>
        <v>2018</v>
      </c>
      <c r="D302" s="346" t="str">
        <f aca="false">'LT records'!$C302&amp;"-"&amp;MONTH('LT records'!$B302)</f>
        <v>2018-1</v>
      </c>
      <c r="E302" s="324" t="s">
        <v>393</v>
      </c>
      <c r="F302" s="324" t="str">
        <f aca="false">LEFT('LT records'!$E302,3)</f>
        <v>MyF</v>
      </c>
      <c r="G302" s="324" t="str">
        <f aca="false">IF(OR('LT records'!$F302="MyF", 'LT records'!$F302="DEP"),"DEP",IF('LT records'!$F302="CSH","CSH",IF('LT records'!$F302="BON","BND",IF('LT records'!$F302="Sma","MKT",IF(OR('LT records'!$F302="Val", 'LT records'!$F302="EUR"),"FCY",IF('LT records'!$F302="X-P","PP3",IF('LT records'!$F302="X-m","XAU","???")))))))</f>
        <v>DEP</v>
      </c>
      <c r="H302" s="325" t="n">
        <v>-5013.99</v>
      </c>
      <c r="I302" s="340" t="n">
        <v>10.21</v>
      </c>
      <c r="J302" s="325"/>
      <c r="K302" s="340"/>
      <c r="L302" s="341" t="s">
        <v>436</v>
      </c>
      <c r="M302" s="350" t="str">
        <f aca="false">YEAR('LT records'!$B302)&amp;"-"&amp;MONTH('LT records'!$B302)</f>
        <v>2018-1</v>
      </c>
      <c r="N302" s="343" t="n">
        <f aca="false">'LT records'!$H302+'LT records'!$I302</f>
        <v>-5003.78</v>
      </c>
      <c r="O302" s="341"/>
      <c r="P302" s="341"/>
      <c r="R302" s="326"/>
      <c r="U302" s="327"/>
    </row>
    <row r="303" customFormat="false" ht="12.8" hidden="false" customHeight="false" outlineLevel="0" collapsed="false">
      <c r="B303" s="351" t="n">
        <v>43125</v>
      </c>
      <c r="C303" s="348" t="n">
        <f aca="false">YEAR('LT records'!$B303)</f>
        <v>2018</v>
      </c>
      <c r="D303" s="346" t="str">
        <f aca="false">'LT records'!$C303&amp;"-"&amp;MONTH('LT records'!$B303)</f>
        <v>2018-1</v>
      </c>
      <c r="E303" s="324" t="s">
        <v>14</v>
      </c>
      <c r="F303" s="324" t="str">
        <f aca="false">LEFT('LT records'!$E303,3)</f>
        <v>CSH</v>
      </c>
      <c r="G303" s="324" t="str">
        <f aca="false">IF(OR('LT records'!$F303="MyF", 'LT records'!$F303="DEP"),"DEP",IF('LT records'!$F303="CSH","CSH",IF('LT records'!$F303="BON","BND",IF('LT records'!$F303="Sma","MKT",IF(OR('LT records'!$F303="Val", 'LT records'!$F303="EUR"),"FCY",IF('LT records'!$F303="X-P","PP3",IF('LT records'!$F303="X-m","XAU","???")))))))</f>
        <v>CSH</v>
      </c>
      <c r="H303" s="325" t="n">
        <v>5013.99</v>
      </c>
      <c r="I303" s="340" t="n">
        <f aca="false">3+3.6</f>
        <v>6.6</v>
      </c>
      <c r="J303" s="325"/>
      <c r="K303" s="340"/>
      <c r="L303" s="341" t="s">
        <v>437</v>
      </c>
      <c r="M303" s="350" t="str">
        <f aca="false">YEAR('LT records'!$B303)&amp;"-"&amp;MONTH('LT records'!$B303)</f>
        <v>2018-1</v>
      </c>
      <c r="N303" s="343" t="n">
        <f aca="false">'LT records'!$H303+'LT records'!$I303</f>
        <v>5020.59</v>
      </c>
      <c r="O303" s="341"/>
      <c r="P303" s="341"/>
      <c r="R303" s="326"/>
      <c r="U303" s="327"/>
    </row>
    <row r="304" customFormat="false" ht="12.8" hidden="false" customHeight="false" outlineLevel="0" collapsed="false">
      <c r="B304" s="351" t="n">
        <v>43128</v>
      </c>
      <c r="C304" s="348" t="n">
        <f aca="false">YEAR('LT records'!$B304)</f>
        <v>2018</v>
      </c>
      <c r="D304" s="346" t="str">
        <f aca="false">'LT records'!$C304&amp;"-"&amp;MONTH('LT records'!$B304)</f>
        <v>2018-1</v>
      </c>
      <c r="E304" s="324" t="s">
        <v>14</v>
      </c>
      <c r="F304" s="324" t="str">
        <f aca="false">LEFT('LT records'!$E304,3)</f>
        <v>CSH</v>
      </c>
      <c r="G304" s="324" t="str">
        <f aca="false">IF(OR('LT records'!$F304="MyF", 'LT records'!$F304="DEP"),"DEP",IF('LT records'!$F304="CSH","CSH",IF('LT records'!$F304="BON","BND",IF('LT records'!$F304="Sma","MKT",IF(OR('LT records'!$F304="Val", 'LT records'!$F304="EUR"),"FCY",IF('LT records'!$F304="X-P","PP3",IF('LT records'!$F304="X-m","XAU","???")))))))</f>
        <v>CSH</v>
      </c>
      <c r="H304" s="325" t="n">
        <v>50</v>
      </c>
      <c r="I304" s="340" t="n">
        <f aca="false">2.04</f>
        <v>2.04</v>
      </c>
      <c r="J304" s="325"/>
      <c r="K304" s="340"/>
      <c r="L304" s="341" t="s">
        <v>438</v>
      </c>
      <c r="M304" s="350" t="str">
        <f aca="false">YEAR('LT records'!$B304)&amp;"-"&amp;MONTH('LT records'!$B304)</f>
        <v>2018-1</v>
      </c>
      <c r="N304" s="343" t="n">
        <f aca="false">'LT records'!$H304+'LT records'!$I304</f>
        <v>52.04</v>
      </c>
      <c r="O304" s="341"/>
      <c r="P304" s="341"/>
      <c r="R304" s="326"/>
      <c r="U304" s="327"/>
    </row>
    <row r="305" customFormat="false" ht="12.8" hidden="false" customHeight="false" outlineLevel="0" collapsed="false">
      <c r="B305" s="351" t="n">
        <v>43132</v>
      </c>
      <c r="C305" s="348" t="n">
        <f aca="false">YEAR('LT records'!$B305)</f>
        <v>2018</v>
      </c>
      <c r="D305" s="346" t="str">
        <f aca="false">'LT records'!$C305&amp;"-"&amp;MONTH('LT records'!$B305)</f>
        <v>2018-2</v>
      </c>
      <c r="E305" s="324" t="s">
        <v>14</v>
      </c>
      <c r="F305" s="324" t="str">
        <f aca="false">LEFT('LT records'!$E305,3)</f>
        <v>CSH</v>
      </c>
      <c r="G305" s="324" t="str">
        <f aca="false">IF(OR('LT records'!$F305="MyF", 'LT records'!$F305="DEP"),"DEP",IF('LT records'!$F305="CSH","CSH",IF('LT records'!$F305="BON","BND",IF('LT records'!$F305="Sma","MKT",IF(OR('LT records'!$F305="Val", 'LT records'!$F305="EUR"),"FCY",IF('LT records'!$F305="X-P","PP3",IF('LT records'!$F305="X-m","XAU","???")))))))</f>
        <v>CSH</v>
      </c>
      <c r="H305" s="325" t="n">
        <f aca="false">-5200-75-69-70-53-100-70-50-200-191-2013</f>
        <v>-8091</v>
      </c>
      <c r="I305" s="340" t="n">
        <f aca="false">2.72+0.6+1.2+0.6+0.6+0.6+0.59+0.59+0.59+1.18+0.59</f>
        <v>9.86</v>
      </c>
      <c r="J305" s="325"/>
      <c r="K305" s="340"/>
      <c r="L305" s="341" t="s">
        <v>439</v>
      </c>
      <c r="M305" s="350" t="str">
        <f aca="false">YEAR('LT records'!$B305)&amp;"-"&amp;MONTH('LT records'!$B305)</f>
        <v>2018-2</v>
      </c>
      <c r="N305" s="343" t="n">
        <f aca="false">'LT records'!$H305+'LT records'!$I305</f>
        <v>-8081.14</v>
      </c>
      <c r="O305" s="341"/>
      <c r="P305" s="341"/>
      <c r="R305" s="326"/>
      <c r="U305" s="327"/>
    </row>
    <row r="306" customFormat="false" ht="12.8" hidden="false" customHeight="false" outlineLevel="0" collapsed="false">
      <c r="B306" s="351" t="n">
        <v>43132</v>
      </c>
      <c r="C306" s="348" t="n">
        <f aca="false">YEAR('LT records'!$B306)</f>
        <v>2018</v>
      </c>
      <c r="D306" s="346" t="str">
        <f aca="false">'LT records'!$C306&amp;"-"&amp;MONTH('LT records'!$B306)</f>
        <v>2018-2</v>
      </c>
      <c r="E306" s="324" t="s">
        <v>294</v>
      </c>
      <c r="F306" s="324" t="str">
        <f aca="false">LEFT('LT records'!$E306,3)</f>
        <v>DEP</v>
      </c>
      <c r="G306" s="324" t="str">
        <f aca="false">IF(OR('LT records'!$F306="MyF", 'LT records'!$F306="DEP"),"DEP",IF('LT records'!$F306="CSH","CSH",IF('LT records'!$F306="BON","BND",IF('LT records'!$F306="Sma","MKT",IF(OR('LT records'!$F306="Val", 'LT records'!$F306="EUR"),"FCY",IF('LT records'!$F306="X-P","PP3",IF('LT records'!$F306="X-m","XAU","???")))))))</f>
        <v>DEP</v>
      </c>
      <c r="H306" s="325" t="n">
        <v>5000</v>
      </c>
      <c r="I306" s="340"/>
      <c r="J306" s="325"/>
      <c r="K306" s="340"/>
      <c r="L306" s="341" t="s">
        <v>433</v>
      </c>
      <c r="M306" s="350" t="str">
        <f aca="false">YEAR('LT records'!$B306)&amp;"-"&amp;MONTH('LT records'!$B306)</f>
        <v>2018-2</v>
      </c>
      <c r="N306" s="343" t="n">
        <f aca="false">'LT records'!$H306+'LT records'!$I306</f>
        <v>5000</v>
      </c>
      <c r="O306" s="341"/>
      <c r="P306" s="341"/>
      <c r="R306" s="326"/>
      <c r="U306" s="327"/>
    </row>
    <row r="307" customFormat="false" ht="12.8" hidden="false" customHeight="false" outlineLevel="0" collapsed="false">
      <c r="B307" s="351" t="n">
        <v>43132</v>
      </c>
      <c r="C307" s="348" t="n">
        <f aca="false">YEAR('LT records'!$B307)</f>
        <v>2018</v>
      </c>
      <c r="D307" s="346" t="str">
        <f aca="false">'LT records'!$C307&amp;"-"&amp;MONTH('LT records'!$B307)</f>
        <v>2018-2</v>
      </c>
      <c r="E307" s="324" t="s">
        <v>423</v>
      </c>
      <c r="F307" s="324" t="str">
        <f aca="false">LEFT('LT records'!$E307,3)</f>
        <v>Sma</v>
      </c>
      <c r="G307" s="324" t="str">
        <f aca="false">IF(OR('LT records'!$F307="MyF", 'LT records'!$F307="DEP"),"DEP",IF('LT records'!$F307="CSH","CSH",IF('LT records'!$F307="BON","BND",IF('LT records'!$F307="Sma","MKT",IF(OR('LT records'!$F307="Val", 'LT records'!$F307="EUR"),"FCY",IF('LT records'!$F307="X-P","PP3",IF('LT records'!$F307="X-m","XAU","???")))))))</f>
        <v>MKT</v>
      </c>
      <c r="H307" s="325" t="n">
        <v>1100</v>
      </c>
      <c r="I307" s="340"/>
      <c r="J307" s="325"/>
      <c r="K307" s="340"/>
      <c r="L307" s="341" t="s">
        <v>435</v>
      </c>
      <c r="M307" s="350" t="str">
        <f aca="false">YEAR('LT records'!$B307)&amp;"-"&amp;MONTH('LT records'!$B307)</f>
        <v>2018-2</v>
      </c>
      <c r="N307" s="343" t="n">
        <f aca="false">'LT records'!$H307+'LT records'!$I307</f>
        <v>1100</v>
      </c>
      <c r="O307" s="341"/>
      <c r="P307" s="341"/>
      <c r="R307" s="326"/>
      <c r="U307" s="327"/>
    </row>
    <row r="308" customFormat="false" ht="12.8" hidden="false" customHeight="false" outlineLevel="0" collapsed="false">
      <c r="B308" s="351" t="n">
        <v>43138</v>
      </c>
      <c r="C308" s="348" t="n">
        <f aca="false">YEAR('LT records'!$B308)</f>
        <v>2018</v>
      </c>
      <c r="D308" s="346" t="str">
        <f aca="false">'LT records'!$C308&amp;"-"&amp;MONTH('LT records'!$B308)</f>
        <v>2018-2</v>
      </c>
      <c r="E308" s="324" t="s">
        <v>423</v>
      </c>
      <c r="F308" s="324" t="str">
        <f aca="false">LEFT('LT records'!$E308,3)</f>
        <v>Sma</v>
      </c>
      <c r="G308" s="324" t="str">
        <f aca="false">IF(OR('LT records'!$F308="MyF", 'LT records'!$F308="DEP"),"DEP",IF('LT records'!$F308="CSH","CSH",IF('LT records'!$F308="BON","BND",IF('LT records'!$F308="Sma","MKT",IF(OR('LT records'!$F308="Val", 'LT records'!$F308="EUR"),"FCY",IF('LT records'!$F308="X-P","PP3",IF('LT records'!$F308="X-m","XAU","???")))))))</f>
        <v>MKT</v>
      </c>
      <c r="H308" s="325" t="n">
        <v>1100</v>
      </c>
      <c r="I308" s="340"/>
      <c r="J308" s="325"/>
      <c r="K308" s="340"/>
      <c r="L308" s="341" t="s">
        <v>435</v>
      </c>
      <c r="M308" s="350" t="str">
        <f aca="false">YEAR('LT records'!$B308)&amp;"-"&amp;MONTH('LT records'!$B308)</f>
        <v>2018-2</v>
      </c>
      <c r="N308" s="343" t="n">
        <f aca="false">'LT records'!$H308+'LT records'!$I308</f>
        <v>1100</v>
      </c>
      <c r="O308" s="341"/>
      <c r="P308" s="341"/>
      <c r="R308" s="326"/>
      <c r="U308" s="327"/>
    </row>
    <row r="309" customFormat="false" ht="12.8" hidden="false" customHeight="false" outlineLevel="0" collapsed="false">
      <c r="B309" s="351" t="n">
        <v>43145</v>
      </c>
      <c r="C309" s="348" t="n">
        <f aca="false">YEAR('LT records'!$B309)</f>
        <v>2018</v>
      </c>
      <c r="D309" s="346" t="str">
        <f aca="false">'LT records'!$C309&amp;"-"&amp;MONTH('LT records'!$B309)</f>
        <v>2018-2</v>
      </c>
      <c r="E309" s="324" t="s">
        <v>423</v>
      </c>
      <c r="F309" s="324" t="str">
        <f aca="false">LEFT('LT records'!$E309,3)</f>
        <v>Sma</v>
      </c>
      <c r="G309" s="324" t="str">
        <f aca="false">IF(OR('LT records'!$F309="MyF", 'LT records'!$F309="DEP"),"DEP",IF('LT records'!$F309="CSH","CSH",IF('LT records'!$F309="BON","BND",IF('LT records'!$F309="Sma","MKT",IF(OR('LT records'!$F309="Val", 'LT records'!$F309="EUR"),"FCY",IF('LT records'!$F309="X-P","PP3",IF('LT records'!$F309="X-m","XAU","???")))))))</f>
        <v>MKT</v>
      </c>
      <c r="H309" s="325" t="n">
        <v>1100</v>
      </c>
      <c r="I309" s="340"/>
      <c r="J309" s="325"/>
      <c r="K309" s="340"/>
      <c r="L309" s="341" t="s">
        <v>435</v>
      </c>
      <c r="M309" s="350" t="str">
        <f aca="false">YEAR('LT records'!$B309)&amp;"-"&amp;MONTH('LT records'!$B309)</f>
        <v>2018-2</v>
      </c>
      <c r="N309" s="343" t="n">
        <f aca="false">'LT records'!$H309+'LT records'!$I309</f>
        <v>1100</v>
      </c>
      <c r="O309" s="341"/>
      <c r="P309" s="352"/>
      <c r="R309" s="326"/>
      <c r="U309" s="327"/>
    </row>
    <row r="310" customFormat="false" ht="12.8" hidden="false" customHeight="false" outlineLevel="0" collapsed="false">
      <c r="B310" s="351" t="n">
        <v>43146</v>
      </c>
      <c r="C310" s="348" t="n">
        <f aca="false">YEAR('LT records'!$B310)</f>
        <v>2018</v>
      </c>
      <c r="D310" s="346" t="str">
        <f aca="false">'LT records'!$C310&amp;"-"&amp;MONTH('LT records'!$B310)</f>
        <v>2018-2</v>
      </c>
      <c r="E310" s="324" t="s">
        <v>318</v>
      </c>
      <c r="F310" s="324" t="str">
        <f aca="false">LEFT('LT records'!$E310,3)</f>
        <v>X-P</v>
      </c>
      <c r="G310" s="324" t="str">
        <f aca="false">IF(OR('LT records'!$F310="MyF", 'LT records'!$F310="DEP"),"DEP",IF('LT records'!$F310="CSH","CSH",IF('LT records'!$F310="BON","BND",IF('LT records'!$F310="Sma","MKT",IF(OR('LT records'!$F310="Val", 'LT records'!$F310="EUR"),"FCY",IF('LT records'!$F310="X-P","PP3",IF('LT records'!$F310="X-m","XAU","???")))))))</f>
        <v>PP3</v>
      </c>
      <c r="H310" s="325" t="n">
        <v>150</v>
      </c>
      <c r="I310" s="340"/>
      <c r="J310" s="325"/>
      <c r="K310" s="340"/>
      <c r="L310" s="341" t="s">
        <v>431</v>
      </c>
      <c r="M310" s="350" t="str">
        <f aca="false">YEAR('LT records'!$B310)&amp;"-"&amp;MONTH('LT records'!$B310)</f>
        <v>2018-2</v>
      </c>
      <c r="N310" s="343" t="n">
        <f aca="false">'LT records'!$H310+'LT records'!$I310</f>
        <v>150</v>
      </c>
      <c r="O310" s="341"/>
      <c r="P310" s="352"/>
      <c r="R310" s="326"/>
      <c r="U310" s="327"/>
    </row>
    <row r="311" customFormat="false" ht="12.8" hidden="false" customHeight="false" outlineLevel="0" collapsed="false">
      <c r="B311" s="351" t="n">
        <v>43151</v>
      </c>
      <c r="C311" s="348" t="n">
        <f aca="false">YEAR('LT records'!$B311)</f>
        <v>2018</v>
      </c>
      <c r="D311" s="346" t="str">
        <f aca="false">'LT records'!$C311&amp;"-"&amp;MONTH('LT records'!$B311)</f>
        <v>2018-2</v>
      </c>
      <c r="E311" s="324" t="s">
        <v>423</v>
      </c>
      <c r="F311" s="324" t="str">
        <f aca="false">LEFT('LT records'!$E311,3)</f>
        <v>Sma</v>
      </c>
      <c r="G311" s="324" t="str">
        <f aca="false">IF(OR('LT records'!$F311="MyF", 'LT records'!$F311="DEP"),"DEP",IF('LT records'!$F311="CSH","CSH",IF('LT records'!$F311="BON","BND",IF('LT records'!$F311="Sma","MKT",IF(OR('LT records'!$F311="Val", 'LT records'!$F311="EUR"),"FCY",IF('LT records'!$F311="X-P","PP3",IF('LT records'!$F311="X-m","XAU","???")))))))</f>
        <v>MKT</v>
      </c>
      <c r="H311" s="325" t="n">
        <v>1200</v>
      </c>
      <c r="I311" s="340"/>
      <c r="J311" s="325"/>
      <c r="K311" s="340"/>
      <c r="L311" s="341" t="s">
        <v>440</v>
      </c>
      <c r="M311" s="350" t="str">
        <f aca="false">YEAR('LT records'!$B311)&amp;"-"&amp;MONTH('LT records'!$B311)</f>
        <v>2018-2</v>
      </c>
      <c r="N311" s="343" t="n">
        <f aca="false">'LT records'!$H311+'LT records'!$I311</f>
        <v>1200</v>
      </c>
      <c r="O311" s="341"/>
      <c r="P311" s="352"/>
      <c r="R311" s="326"/>
      <c r="U311" s="327"/>
    </row>
    <row r="312" customFormat="false" ht="12.8" hidden="false" customHeight="false" outlineLevel="0" collapsed="false">
      <c r="B312" s="351" t="n">
        <v>43156</v>
      </c>
      <c r="C312" s="348" t="n">
        <f aca="false">YEAR('LT records'!$B312)</f>
        <v>2018</v>
      </c>
      <c r="D312" s="346" t="str">
        <f aca="false">'LT records'!$C312&amp;"-"&amp;MONTH('LT records'!$B312)</f>
        <v>2018-2</v>
      </c>
      <c r="E312" s="324" t="s">
        <v>423</v>
      </c>
      <c r="F312" s="324" t="str">
        <f aca="false">LEFT('LT records'!$E312,3)</f>
        <v>Sma</v>
      </c>
      <c r="G312" s="324" t="str">
        <f aca="false">IF(OR('LT records'!$F312="MyF", 'LT records'!$F312="DEP"),"DEP",IF('LT records'!$F312="CSH","CSH",IF('LT records'!$F312="BON","BND",IF('LT records'!$F312="Sma","MKT",IF(OR('LT records'!$F312="Val", 'LT records'!$F312="EUR"),"FCY",IF('LT records'!$F312="X-P","PP3",IF('LT records'!$F312="X-m","XAU","???")))))))</f>
        <v>MKT</v>
      </c>
      <c r="H312" s="325" t="n">
        <v>1100</v>
      </c>
      <c r="I312" s="340"/>
      <c r="J312" s="325"/>
      <c r="K312" s="340"/>
      <c r="L312" s="341" t="s">
        <v>435</v>
      </c>
      <c r="M312" s="350" t="str">
        <f aca="false">YEAR('LT records'!$B312)&amp;"-"&amp;MONTH('LT records'!$B312)</f>
        <v>2018-2</v>
      </c>
      <c r="N312" s="343" t="n">
        <f aca="false">'LT records'!$H312+'LT records'!$I312</f>
        <v>1100</v>
      </c>
      <c r="O312" s="341"/>
      <c r="P312" s="352"/>
      <c r="R312" s="326"/>
      <c r="U312" s="327"/>
    </row>
    <row r="313" customFormat="false" ht="12.8" hidden="false" customHeight="false" outlineLevel="0" collapsed="false">
      <c r="B313" s="351" t="n">
        <v>43156</v>
      </c>
      <c r="C313" s="348" t="n">
        <f aca="false">YEAR('LT records'!$B313)</f>
        <v>2018</v>
      </c>
      <c r="D313" s="346" t="str">
        <f aca="false">'LT records'!$C313&amp;"-"&amp;MONTH('LT records'!$B313)</f>
        <v>2018-2</v>
      </c>
      <c r="E313" s="324" t="s">
        <v>318</v>
      </c>
      <c r="F313" s="324" t="str">
        <f aca="false">LEFT('LT records'!$E313,3)</f>
        <v>X-P</v>
      </c>
      <c r="G313" s="324" t="str">
        <f aca="false">IF(OR('LT records'!$F313="MyF", 'LT records'!$F313="DEP"),"DEP",IF('LT records'!$F313="CSH","CSH",IF('LT records'!$F313="BON","BND",IF('LT records'!$F313="Sma","MKT",IF(OR('LT records'!$F313="Val", 'LT records'!$F313="EUR"),"FCY",IF('LT records'!$F313="X-P","PP3",IF('LT records'!$F313="X-m","XAU","???")))))))</f>
        <v>PP3</v>
      </c>
      <c r="H313" s="325" t="n">
        <v>420</v>
      </c>
      <c r="I313" s="340"/>
      <c r="J313" s="325"/>
      <c r="K313" s="340"/>
      <c r="L313" s="341" t="s">
        <v>428</v>
      </c>
      <c r="M313" s="350" t="str">
        <f aca="false">YEAR('LT records'!$B313)&amp;"-"&amp;MONTH('LT records'!$B313)</f>
        <v>2018-2</v>
      </c>
      <c r="N313" s="343" t="n">
        <f aca="false">'LT records'!$H313+'LT records'!$I313</f>
        <v>420</v>
      </c>
      <c r="O313" s="341"/>
      <c r="P313" s="341"/>
      <c r="R313" s="326"/>
      <c r="U313" s="327"/>
    </row>
    <row r="314" customFormat="false" ht="12.8" hidden="false" customHeight="false" outlineLevel="0" collapsed="false">
      <c r="B314" s="351" t="n">
        <v>43159</v>
      </c>
      <c r="C314" s="348" t="n">
        <f aca="false">YEAR('LT records'!$B314)</f>
        <v>2018</v>
      </c>
      <c r="D314" s="346" t="str">
        <f aca="false">'LT records'!$C314&amp;"-"&amp;MONTH('LT records'!$B314)</f>
        <v>2018-2</v>
      </c>
      <c r="E314" s="324" t="s">
        <v>14</v>
      </c>
      <c r="F314" s="324" t="str">
        <f aca="false">LEFT('LT records'!$E314,3)</f>
        <v>CSH</v>
      </c>
      <c r="G314" s="324" t="str">
        <f aca="false">IF(OR('LT records'!$F314="MyF", 'LT records'!$F314="DEP"),"DEP",IF('LT records'!$F314="CSH","CSH",IF('LT records'!$F314="BON","BND",IF('LT records'!$F314="Sma","MKT",IF(OR('LT records'!$F314="Val", 'LT records'!$F314="EUR"),"FCY",IF('LT records'!$F314="X-P","PP3",IF('LT records'!$F314="X-m","XAU","???")))))))</f>
        <v>CSH</v>
      </c>
      <c r="H314" s="325" t="n">
        <v>50</v>
      </c>
      <c r="I314" s="340" t="n">
        <f aca="false">3.92+4.48</f>
        <v>8.4</v>
      </c>
      <c r="J314" s="325"/>
      <c r="K314" s="340"/>
      <c r="L314" s="341" t="s">
        <v>438</v>
      </c>
      <c r="M314" s="350" t="str">
        <f aca="false">YEAR('LT records'!$B314)&amp;"-"&amp;MONTH('LT records'!$B314)</f>
        <v>2018-2</v>
      </c>
      <c r="N314" s="343" t="n">
        <f aca="false">'LT records'!$H314+'LT records'!$I314</f>
        <v>58.4</v>
      </c>
      <c r="O314" s="341"/>
      <c r="P314" s="341"/>
      <c r="R314" s="326"/>
      <c r="U314" s="327"/>
    </row>
    <row r="315" customFormat="false" ht="12.8" hidden="false" customHeight="false" outlineLevel="0" collapsed="false">
      <c r="B315" s="351" t="n">
        <v>43160</v>
      </c>
      <c r="C315" s="348" t="n">
        <f aca="false">YEAR('LT records'!$B315)</f>
        <v>2018</v>
      </c>
      <c r="D315" s="346" t="str">
        <f aca="false">'LT records'!$C315&amp;"-"&amp;MONTH('LT records'!$B315)</f>
        <v>2018-3</v>
      </c>
      <c r="E315" s="324" t="s">
        <v>14</v>
      </c>
      <c r="F315" s="324" t="str">
        <f aca="false">LEFT('LT records'!$E315,3)</f>
        <v>CSH</v>
      </c>
      <c r="G315" s="324" t="str">
        <f aca="false">IF(OR('LT records'!$F315="MyF", 'LT records'!$F315="DEP"),"DEP",IF('LT records'!$F315="CSH","CSH",IF('LT records'!$F315="BON","BND",IF('LT records'!$F315="Sma","MKT",IF(OR('LT records'!$F315="Val", 'LT records'!$F315="EUR"),"FCY",IF('LT records'!$F315="X-P","PP3",IF('LT records'!$F315="X-m","XAU","???")))))))</f>
        <v>CSH</v>
      </c>
      <c r="H315" s="325" t="n">
        <f aca="false">-5000-11</f>
        <v>-5011</v>
      </c>
      <c r="I315" s="340" t="n">
        <f aca="false">0.56+0.48+3.84+4.8</f>
        <v>9.68</v>
      </c>
      <c r="J315" s="325"/>
      <c r="K315" s="340"/>
      <c r="L315" s="341" t="s">
        <v>441</v>
      </c>
      <c r="M315" s="350" t="str">
        <f aca="false">YEAR('LT records'!$B315)&amp;"-"&amp;MONTH('LT records'!$B315)</f>
        <v>2018-3</v>
      </c>
      <c r="N315" s="343" t="n">
        <f aca="false">'LT records'!$H315+'LT records'!$I315</f>
        <v>-5001.32</v>
      </c>
      <c r="O315" s="341"/>
      <c r="P315" s="341"/>
      <c r="R315" s="326"/>
      <c r="U315" s="327"/>
    </row>
    <row r="316" customFormat="false" ht="12.8" hidden="false" customHeight="false" outlineLevel="0" collapsed="false">
      <c r="B316" s="351" t="n">
        <v>43160</v>
      </c>
      <c r="C316" s="348" t="n">
        <f aca="false">YEAR('LT records'!$B316)</f>
        <v>2018</v>
      </c>
      <c r="D316" s="346" t="str">
        <f aca="false">'LT records'!$C316&amp;"-"&amp;MONTH('LT records'!$B316)</f>
        <v>2018-3</v>
      </c>
      <c r="E316" s="324" t="s">
        <v>296</v>
      </c>
      <c r="F316" s="324" t="str">
        <f aca="false">LEFT('LT records'!$E316,3)</f>
        <v>DEP</v>
      </c>
      <c r="G316" s="324" t="str">
        <f aca="false">IF(OR('LT records'!$F316="MyF", 'LT records'!$F316="DEP"),"DEP",IF('LT records'!$F316="CSH","CSH",IF('LT records'!$F316="BON","BND",IF('LT records'!$F316="Sma","MKT",IF(OR('LT records'!$F316="Val", 'LT records'!$F316="EUR"),"FCY",IF('LT records'!$F316="X-P","PP3",IF('LT records'!$F316="X-m","XAU","???")))))))</f>
        <v>DEP</v>
      </c>
      <c r="H316" s="325" t="n">
        <v>5000</v>
      </c>
      <c r="I316" s="340"/>
      <c r="J316" s="325"/>
      <c r="K316" s="340"/>
      <c r="L316" s="341" t="s">
        <v>442</v>
      </c>
      <c r="M316" s="350" t="str">
        <f aca="false">YEAR('LT records'!$B316)&amp;"-"&amp;MONTH('LT records'!$B316)</f>
        <v>2018-3</v>
      </c>
      <c r="N316" s="343" t="n">
        <f aca="false">'LT records'!$H316+'LT records'!$I316</f>
        <v>5000</v>
      </c>
      <c r="O316" s="341"/>
      <c r="P316" s="341"/>
      <c r="R316" s="326"/>
      <c r="U316" s="327"/>
    </row>
    <row r="317" customFormat="false" ht="12.8" hidden="false" customHeight="false" outlineLevel="0" collapsed="false">
      <c r="B317" s="351" t="n">
        <v>43164</v>
      </c>
      <c r="C317" s="348" t="n">
        <f aca="false">YEAR('LT records'!$B317)</f>
        <v>2018</v>
      </c>
      <c r="D317" s="346" t="str">
        <f aca="false">'LT records'!$C317&amp;"-"&amp;MONTH('LT records'!$B317)</f>
        <v>2018-3</v>
      </c>
      <c r="E317" s="324" t="s">
        <v>423</v>
      </c>
      <c r="F317" s="324" t="str">
        <f aca="false">LEFT('LT records'!$E317,3)</f>
        <v>Sma</v>
      </c>
      <c r="G317" s="324" t="str">
        <f aca="false">IF(OR('LT records'!$F317="MyF", 'LT records'!$F317="DEP"),"DEP",IF('LT records'!$F317="CSH","CSH",IF('LT records'!$F317="BON","BND",IF('LT records'!$F317="Sma","MKT",IF(OR('LT records'!$F317="Val", 'LT records'!$F317="EUR"),"FCY",IF('LT records'!$F317="X-P","PP3",IF('LT records'!$F317="X-m","XAU","???")))))))</f>
        <v>MKT</v>
      </c>
      <c r="H317" s="325" t="n">
        <v>1000</v>
      </c>
      <c r="I317" s="340"/>
      <c r="J317" s="325"/>
      <c r="K317" s="340"/>
      <c r="L317" s="341" t="s">
        <v>434</v>
      </c>
      <c r="M317" s="350" t="str">
        <f aca="false">YEAR('LT records'!$B317)&amp;"-"&amp;MONTH('LT records'!$B317)</f>
        <v>2018-3</v>
      </c>
      <c r="N317" s="343" t="n">
        <f aca="false">'LT records'!$H317+'LT records'!$I317</f>
        <v>1000</v>
      </c>
      <c r="O317" s="341"/>
      <c r="P317" s="341"/>
      <c r="R317" s="326"/>
      <c r="U317" s="327"/>
    </row>
    <row r="318" customFormat="false" ht="12.8" hidden="false" customHeight="false" outlineLevel="0" collapsed="false">
      <c r="B318" s="351" t="n">
        <v>43171</v>
      </c>
      <c r="C318" s="348" t="n">
        <f aca="false">YEAR('LT records'!$B318)</f>
        <v>2018</v>
      </c>
      <c r="D318" s="346" t="str">
        <f aca="false">'LT records'!$C318&amp;"-"&amp;MONTH('LT records'!$B318)</f>
        <v>2018-3</v>
      </c>
      <c r="E318" s="324" t="s">
        <v>423</v>
      </c>
      <c r="F318" s="324" t="str">
        <f aca="false">LEFT('LT records'!$E318,3)</f>
        <v>Sma</v>
      </c>
      <c r="G318" s="324" t="str">
        <f aca="false">IF(OR('LT records'!$F318="MyF", 'LT records'!$F318="DEP"),"DEP",IF('LT records'!$F318="CSH","CSH",IF('LT records'!$F318="BON","BND",IF('LT records'!$F318="Sma","MKT",IF(OR('LT records'!$F318="Val", 'LT records'!$F318="EUR"),"FCY",IF('LT records'!$F318="X-P","PP3",IF('LT records'!$F318="X-m","XAU","???")))))))</f>
        <v>MKT</v>
      </c>
      <c r="H318" s="325" t="n">
        <v>1000</v>
      </c>
      <c r="I318" s="340"/>
      <c r="J318" s="325"/>
      <c r="K318" s="340"/>
      <c r="L318" s="341" t="s">
        <v>434</v>
      </c>
      <c r="M318" s="350" t="str">
        <f aca="false">YEAR('LT records'!$B318)&amp;"-"&amp;MONTH('LT records'!$B318)</f>
        <v>2018-3</v>
      </c>
      <c r="N318" s="343" t="n">
        <f aca="false">'LT records'!$H318+'LT records'!$I318</f>
        <v>1000</v>
      </c>
      <c r="O318" s="341"/>
      <c r="P318" s="341"/>
      <c r="R318" s="326"/>
      <c r="U318" s="327"/>
    </row>
    <row r="319" customFormat="false" ht="12.8" hidden="false" customHeight="false" outlineLevel="0" collapsed="false">
      <c r="B319" s="351" t="n">
        <v>43175</v>
      </c>
      <c r="C319" s="348" t="n">
        <f aca="false">YEAR('LT records'!$B319)</f>
        <v>2018</v>
      </c>
      <c r="D319" s="346" t="str">
        <f aca="false">'LT records'!$C319&amp;"-"&amp;MONTH('LT records'!$B319)</f>
        <v>2018-3</v>
      </c>
      <c r="E319" s="324" t="s">
        <v>318</v>
      </c>
      <c r="F319" s="324" t="str">
        <f aca="false">LEFT('LT records'!$E319,3)</f>
        <v>X-P</v>
      </c>
      <c r="G319" s="324" t="str">
        <f aca="false">IF(OR('LT records'!$F319="MyF", 'LT records'!$F319="DEP"),"DEP",IF('LT records'!$F319="CSH","CSH",IF('LT records'!$F319="BON","BND",IF('LT records'!$F319="Sma","MKT",IF(OR('LT records'!$F319="Val", 'LT records'!$F319="EUR"),"FCY",IF('LT records'!$F319="X-P","PP3",IF('LT records'!$F319="X-m","XAU","???")))))))</f>
        <v>PP3</v>
      </c>
      <c r="H319" s="325" t="n">
        <v>150</v>
      </c>
      <c r="I319" s="340"/>
      <c r="J319" s="325"/>
      <c r="K319" s="340"/>
      <c r="L319" s="341" t="s">
        <v>443</v>
      </c>
      <c r="M319" s="350" t="str">
        <f aca="false">YEAR('LT records'!$B319)&amp;"-"&amp;MONTH('LT records'!$B319)</f>
        <v>2018-3</v>
      </c>
      <c r="N319" s="343" t="n">
        <f aca="false">'LT records'!$H319+'LT records'!$I319</f>
        <v>150</v>
      </c>
      <c r="O319" s="341"/>
      <c r="P319" s="341"/>
      <c r="R319" s="326"/>
      <c r="U319" s="327"/>
    </row>
    <row r="320" customFormat="false" ht="12.8" hidden="false" customHeight="false" outlineLevel="0" collapsed="false">
      <c r="B320" s="351" t="n">
        <v>43178</v>
      </c>
      <c r="C320" s="348" t="n">
        <f aca="false">YEAR('LT records'!$B320)</f>
        <v>2018</v>
      </c>
      <c r="D320" s="346" t="str">
        <f aca="false">'LT records'!$C320&amp;"-"&amp;MONTH('LT records'!$B320)</f>
        <v>2018-3</v>
      </c>
      <c r="E320" s="324" t="s">
        <v>423</v>
      </c>
      <c r="F320" s="324" t="str">
        <f aca="false">LEFT('LT records'!$E320,3)</f>
        <v>Sma</v>
      </c>
      <c r="G320" s="324" t="str">
        <f aca="false">IF(OR('LT records'!$F320="MyF", 'LT records'!$F320="DEP"),"DEP",IF('LT records'!$F320="CSH","CSH",IF('LT records'!$F320="BON","BND",IF('LT records'!$F320="Sma","MKT",IF(OR('LT records'!$F320="Val", 'LT records'!$F320="EUR"),"FCY",IF('LT records'!$F320="X-P","PP3",IF('LT records'!$F320="X-m","XAU","???")))))))</f>
        <v>MKT</v>
      </c>
      <c r="H320" s="325" t="n">
        <v>1000</v>
      </c>
      <c r="I320" s="340"/>
      <c r="J320" s="325"/>
      <c r="K320" s="340"/>
      <c r="L320" s="341" t="s">
        <v>434</v>
      </c>
      <c r="M320" s="350" t="str">
        <f aca="false">YEAR('LT records'!$B320)&amp;"-"&amp;MONTH('LT records'!$B320)</f>
        <v>2018-3</v>
      </c>
      <c r="N320" s="343" t="n">
        <f aca="false">'LT records'!$H320+'LT records'!$I320</f>
        <v>1000</v>
      </c>
      <c r="O320" s="341"/>
      <c r="P320" s="341"/>
      <c r="R320" s="326"/>
      <c r="U320" s="327"/>
    </row>
    <row r="321" customFormat="false" ht="12.8" hidden="false" customHeight="false" outlineLevel="0" collapsed="false">
      <c r="B321" s="351" t="n">
        <v>43180</v>
      </c>
      <c r="C321" s="348" t="n">
        <f aca="false">YEAR('LT records'!$B321)</f>
        <v>2018</v>
      </c>
      <c r="D321" s="346" t="str">
        <f aca="false">'LT records'!$C321&amp;"-"&amp;MONTH('LT records'!$B321)</f>
        <v>2018-3</v>
      </c>
      <c r="E321" s="324" t="s">
        <v>367</v>
      </c>
      <c r="F321" s="324" t="str">
        <f aca="false">LEFT('LT records'!$E321,3)</f>
        <v>MyF</v>
      </c>
      <c r="G321" s="324" t="str">
        <f aca="false">IF(OR('LT records'!$F321="MyF", 'LT records'!$F321="DEP"),"DEP",IF('LT records'!$F321="CSH","CSH",IF('LT records'!$F321="BON","BND",IF('LT records'!$F321="Sma","MKT",IF(OR('LT records'!$F321="Val", 'LT records'!$F321="EUR"),"FCY",IF('LT records'!$F321="X-P","PP3",IF('LT records'!$F321="X-m","XAU","???")))))))</f>
        <v>DEP</v>
      </c>
      <c r="H321" s="325" t="n">
        <v>0</v>
      </c>
      <c r="I321" s="340" t="n">
        <f aca="false">59.52-5.95</f>
        <v>53.57</v>
      </c>
      <c r="J321" s="325"/>
      <c r="K321" s="340"/>
      <c r="L321" s="341" t="s">
        <v>40</v>
      </c>
      <c r="M321" s="350" t="str">
        <f aca="false">YEAR('LT records'!$B321)&amp;"-"&amp;MONTH('LT records'!$B321)</f>
        <v>2018-3</v>
      </c>
      <c r="N321" s="343" t="n">
        <f aca="false">'LT records'!$H321+'LT records'!$I321</f>
        <v>53.57</v>
      </c>
      <c r="O321" s="341"/>
      <c r="P321" s="341"/>
      <c r="R321" s="326"/>
      <c r="U321" s="327"/>
    </row>
    <row r="322" customFormat="false" ht="12.8" hidden="false" customHeight="false" outlineLevel="0" collapsed="false">
      <c r="B322" s="351" t="n">
        <v>43180</v>
      </c>
      <c r="C322" s="348" t="n">
        <f aca="false">YEAR('LT records'!$B322)</f>
        <v>2018</v>
      </c>
      <c r="D322" s="346" t="str">
        <f aca="false">'LT records'!$C322&amp;"-"&amp;MONTH('LT records'!$B322)</f>
        <v>2018-3</v>
      </c>
      <c r="E322" s="324" t="s">
        <v>444</v>
      </c>
      <c r="F322" s="324" t="str">
        <f aca="false">LEFT('LT records'!$E322,3)</f>
        <v>Val</v>
      </c>
      <c r="G322" s="324" t="str">
        <f aca="false">IF(OR('LT records'!$F322="MyF", 'LT records'!$F322="DEP"),"DEP",IF('LT records'!$F322="CSH","CSH",IF('LT records'!$F322="BON","BND",IF('LT records'!$F322="Sma","MKT",IF(OR('LT records'!$F322="Val", 'LT records'!$F322="EUR"),"FCY",IF('LT records'!$F322="X-P","PP3",IF('LT records'!$F322="X-m","XAU","???")))))))</f>
        <v>FCY</v>
      </c>
      <c r="H322" s="325" t="n">
        <v>0</v>
      </c>
      <c r="I322" s="340"/>
      <c r="J322" s="340" t="n">
        <v>5000</v>
      </c>
      <c r="K322" s="340"/>
      <c r="L322" s="341" t="s">
        <v>445</v>
      </c>
      <c r="M322" s="350" t="str">
        <f aca="false">YEAR('LT records'!$B322)&amp;"-"&amp;MONTH('LT records'!$B322)</f>
        <v>2018-3</v>
      </c>
      <c r="N322" s="343" t="n">
        <f aca="false">'LT records'!$H322+'LT records'!$I322</f>
        <v>0</v>
      </c>
      <c r="O322" s="341"/>
      <c r="P322" s="341"/>
      <c r="R322" s="326"/>
      <c r="U322" s="327"/>
    </row>
    <row r="323" customFormat="false" ht="12.8" hidden="false" customHeight="false" outlineLevel="0" collapsed="false">
      <c r="B323" s="351" t="n">
        <v>43185</v>
      </c>
      <c r="C323" s="348" t="n">
        <f aca="false">YEAR('LT records'!$B323)</f>
        <v>2018</v>
      </c>
      <c r="D323" s="346" t="str">
        <f aca="false">'LT records'!$C323&amp;"-"&amp;MONTH('LT records'!$B323)</f>
        <v>2018-3</v>
      </c>
      <c r="E323" s="324" t="s">
        <v>423</v>
      </c>
      <c r="F323" s="324" t="str">
        <f aca="false">LEFT('LT records'!$E323,3)</f>
        <v>Sma</v>
      </c>
      <c r="G323" s="324" t="str">
        <f aca="false">IF(OR('LT records'!$F323="MyF", 'LT records'!$F323="DEP"),"DEP",IF('LT records'!$F323="CSH","CSH",IF('LT records'!$F323="BON","BND",IF('LT records'!$F323="Sma","MKT",IF(OR('LT records'!$F323="Val", 'LT records'!$F323="EUR"),"FCY",IF('LT records'!$F323="X-P","PP3",IF('LT records'!$F323="X-m","XAU","???")))))))</f>
        <v>MKT</v>
      </c>
      <c r="H323" s="325" t="n">
        <v>1100</v>
      </c>
      <c r="I323" s="340"/>
      <c r="J323" s="325"/>
      <c r="K323" s="340"/>
      <c r="L323" s="341" t="s">
        <v>435</v>
      </c>
      <c r="M323" s="350" t="str">
        <f aca="false">YEAR('LT records'!$B323)&amp;"-"&amp;MONTH('LT records'!$B323)</f>
        <v>2018-3</v>
      </c>
      <c r="N323" s="343" t="n">
        <f aca="false">'LT records'!$H323+'LT records'!$I323</f>
        <v>1100</v>
      </c>
      <c r="P323" s="324"/>
      <c r="R323" s="326"/>
      <c r="U323" s="327"/>
    </row>
    <row r="324" customFormat="false" ht="12.8" hidden="false" customHeight="false" outlineLevel="0" collapsed="false">
      <c r="B324" s="351" t="n">
        <v>43185</v>
      </c>
      <c r="C324" s="348" t="n">
        <f aca="false">YEAR('LT records'!$B324)</f>
        <v>2018</v>
      </c>
      <c r="D324" s="346" t="str">
        <f aca="false">'LT records'!$C324&amp;"-"&amp;MONTH('LT records'!$B324)</f>
        <v>2018-3</v>
      </c>
      <c r="E324" s="324" t="s">
        <v>318</v>
      </c>
      <c r="F324" s="324" t="str">
        <f aca="false">LEFT('LT records'!$E324,3)</f>
        <v>X-P</v>
      </c>
      <c r="G324" s="324" t="str">
        <f aca="false">IF(OR('LT records'!$F324="MyF", 'LT records'!$F324="DEP"),"DEP",IF('LT records'!$F324="CSH","CSH",IF('LT records'!$F324="BON","BND",IF('LT records'!$F324="Sma","MKT",IF(OR('LT records'!$F324="Val", 'LT records'!$F324="EUR"),"FCY",IF('LT records'!$F324="X-P","PP3",IF('LT records'!$F324="X-m","XAU","???")))))))</f>
        <v>PP3</v>
      </c>
      <c r="H324" s="325" t="n">
        <v>420</v>
      </c>
      <c r="I324" s="340"/>
      <c r="J324" s="325"/>
      <c r="K324" s="340"/>
      <c r="L324" s="341" t="s">
        <v>428</v>
      </c>
      <c r="M324" s="350" t="str">
        <f aca="false">YEAR('LT records'!$B324)&amp;"-"&amp;MONTH('LT records'!$B324)</f>
        <v>2018-3</v>
      </c>
      <c r="N324" s="343" t="n">
        <f aca="false">'LT records'!$H324+'LT records'!$I324</f>
        <v>420</v>
      </c>
      <c r="P324" s="324"/>
      <c r="R324" s="326"/>
      <c r="U324" s="327"/>
    </row>
    <row r="325" customFormat="false" ht="12.8" hidden="false" customHeight="false" outlineLevel="0" collapsed="false">
      <c r="B325" s="351" t="n">
        <v>43187</v>
      </c>
      <c r="C325" s="348" t="n">
        <f aca="false">YEAR('LT records'!$B325)</f>
        <v>2018</v>
      </c>
      <c r="D325" s="346" t="str">
        <f aca="false">'LT records'!$C325&amp;"-"&amp;MONTH('LT records'!$B325)</f>
        <v>2018-3</v>
      </c>
      <c r="E325" s="324" t="s">
        <v>14</v>
      </c>
      <c r="F325" s="324" t="str">
        <f aca="false">LEFT('LT records'!$E325,3)</f>
        <v>CSH</v>
      </c>
      <c r="G325" s="324" t="str">
        <f aca="false">IF(OR('LT records'!$F325="MyF", 'LT records'!$F325="DEP"),"DEP",IF('LT records'!$F325="CSH","CSH",IF('LT records'!$F325="BON","BND",IF('LT records'!$F325="Sma","MKT",IF(OR('LT records'!$F325="Val", 'LT records'!$F325="EUR"),"FCY",IF('LT records'!$F325="X-P","PP3",IF('LT records'!$F325="X-m","XAU","???")))))))</f>
        <v>CSH</v>
      </c>
      <c r="H325" s="325" t="n">
        <f aca="false">50-205</f>
        <v>-155</v>
      </c>
      <c r="I325" s="340" t="n">
        <f aca="false">3.84+0.48+0.48</f>
        <v>4.8</v>
      </c>
      <c r="J325" s="325"/>
      <c r="K325" s="340"/>
      <c r="L325" s="341" t="s">
        <v>438</v>
      </c>
      <c r="M325" s="350" t="str">
        <f aca="false">YEAR('LT records'!$B325)&amp;"-"&amp;MONTH('LT records'!$B325)</f>
        <v>2018-3</v>
      </c>
      <c r="N325" s="343" t="n">
        <f aca="false">'LT records'!$H325+'LT records'!$I325</f>
        <v>-150.2</v>
      </c>
      <c r="P325" s="324"/>
      <c r="R325" s="326"/>
      <c r="U325" s="327"/>
    </row>
    <row r="326" customFormat="false" ht="12.8" hidden="false" customHeight="false" outlineLevel="0" collapsed="false">
      <c r="B326" s="351" t="n">
        <v>43189</v>
      </c>
      <c r="C326" s="348" t="n">
        <f aca="false">YEAR('LT records'!$B326)</f>
        <v>2018</v>
      </c>
      <c r="D326" s="346" t="str">
        <f aca="false">'LT records'!$C326&amp;"-"&amp;MONTH('LT records'!$B326)</f>
        <v>2018-3</v>
      </c>
      <c r="E326" s="324" t="s">
        <v>14</v>
      </c>
      <c r="F326" s="324" t="str">
        <f aca="false">LEFT('LT records'!$E326,3)</f>
        <v>CSH</v>
      </c>
      <c r="G326" s="324" t="str">
        <f aca="false">IF(OR('LT records'!$F326="MyF", 'LT records'!$F326="DEP"),"DEP",IF('LT records'!$F326="CSH","CSH",IF('LT records'!$F326="BON","BND",IF('LT records'!$F326="Sma","MKT",IF(OR('LT records'!$F326="Val", 'LT records'!$F326="EUR"),"FCY",IF('LT records'!$F326="X-P","PP3",IF('LT records'!$F326="X-m","XAU","???")))))))</f>
        <v>CSH</v>
      </c>
      <c r="H326" s="325" t="n">
        <v>-1760</v>
      </c>
      <c r="I326" s="340"/>
      <c r="J326" s="325"/>
      <c r="K326" s="340"/>
      <c r="L326" s="341" t="s">
        <v>446</v>
      </c>
      <c r="M326" s="350" t="str">
        <f aca="false">YEAR('LT records'!$B326)&amp;"-"&amp;MONTH('LT records'!$B326)</f>
        <v>2018-3</v>
      </c>
      <c r="N326" s="343" t="n">
        <f aca="false">'LT records'!$H326+'LT records'!$I326</f>
        <v>-1760</v>
      </c>
      <c r="P326" s="324"/>
      <c r="R326" s="326"/>
      <c r="U326" s="327"/>
    </row>
    <row r="327" customFormat="false" ht="12.8" hidden="false" customHeight="false" outlineLevel="0" collapsed="false">
      <c r="B327" s="351" t="n">
        <v>43189</v>
      </c>
      <c r="C327" s="348" t="n">
        <f aca="false">YEAR('LT records'!$B327)</f>
        <v>2018</v>
      </c>
      <c r="D327" s="346" t="str">
        <f aca="false">'LT records'!$C327&amp;"-"&amp;MONTH('LT records'!$B327)</f>
        <v>2018-3</v>
      </c>
      <c r="E327" s="324" t="s">
        <v>322</v>
      </c>
      <c r="F327" s="324" t="str">
        <f aca="false">LEFT('LT records'!$E327,3)</f>
        <v>X-m</v>
      </c>
      <c r="G327" s="324" t="str">
        <f aca="false">IF(OR('LT records'!$F327="MyF", 'LT records'!$F327="DEP"),"DEP",IF('LT records'!$F327="CSH","CSH",IF('LT records'!$F327="BON","BND",IF('LT records'!$F327="Sma","MKT",IF(OR('LT records'!$F327="Val", 'LT records'!$F327="EUR"),"FCY",IF('LT records'!$F327="X-P","PP3",IF('LT records'!$F327="X-m","XAU","???")))))))</f>
        <v>XAU</v>
      </c>
      <c r="H327" s="325" t="n">
        <v>1757</v>
      </c>
      <c r="I327" s="340"/>
      <c r="J327" s="325"/>
      <c r="K327" s="340"/>
      <c r="L327" s="341" t="s">
        <v>447</v>
      </c>
      <c r="M327" s="350" t="str">
        <f aca="false">YEAR('LT records'!$B327)&amp;"-"&amp;MONTH('LT records'!$B327)</f>
        <v>2018-3</v>
      </c>
      <c r="N327" s="343" t="n">
        <f aca="false">'LT records'!$H327+'LT records'!$I327</f>
        <v>1757</v>
      </c>
      <c r="P327" s="324"/>
      <c r="R327" s="326"/>
      <c r="U327" s="327"/>
    </row>
    <row r="328" customFormat="false" ht="12.8" hidden="false" customHeight="false" outlineLevel="0" collapsed="false">
      <c r="B328" s="351" t="n">
        <v>43191</v>
      </c>
      <c r="C328" s="348" t="n">
        <f aca="false">YEAR('LT records'!$B328)</f>
        <v>2018</v>
      </c>
      <c r="D328" s="346" t="str">
        <f aca="false">'LT records'!$C328&amp;"-"&amp;MONTH('LT records'!$B328)</f>
        <v>2018-4</v>
      </c>
      <c r="E328" s="324" t="s">
        <v>14</v>
      </c>
      <c r="F328" s="324" t="str">
        <f aca="false">LEFT('LT records'!$E328,3)</f>
        <v>CSH</v>
      </c>
      <c r="G328" s="324" t="str">
        <f aca="false">IF(OR('LT records'!$F328="MyF", 'LT records'!$F328="DEP"),"DEP",IF('LT records'!$F328="CSH","CSH",IF('LT records'!$F328="BON","BND",IF('LT records'!$F328="Sma","MKT",IF(OR('LT records'!$F328="Val", 'LT records'!$F328="EUR"),"FCY",IF('LT records'!$F328="X-P","PP3",IF('LT records'!$F328="X-m","XAU","???")))))))</f>
        <v>CSH</v>
      </c>
      <c r="H328" s="325" t="n">
        <v>-9995</v>
      </c>
      <c r="I328" s="340" t="n">
        <f aca="false">0.9</f>
        <v>0.9</v>
      </c>
      <c r="J328" s="325"/>
      <c r="K328" s="340"/>
      <c r="L328" s="341" t="s">
        <v>448</v>
      </c>
      <c r="M328" s="350" t="str">
        <f aca="false">YEAR('LT records'!$B328)&amp;"-"&amp;MONTH('LT records'!$B328)</f>
        <v>2018-4</v>
      </c>
      <c r="N328" s="343" t="n">
        <f aca="false">'LT records'!$H328+'LT records'!$I328</f>
        <v>-9994.1</v>
      </c>
      <c r="P328" s="324"/>
      <c r="R328" s="326"/>
      <c r="U328" s="327"/>
    </row>
    <row r="329" customFormat="false" ht="12.8" hidden="false" customHeight="false" outlineLevel="0" collapsed="false">
      <c r="B329" s="351" t="n">
        <v>43191</v>
      </c>
      <c r="C329" s="348" t="n">
        <f aca="false">YEAR('LT records'!$B329)</f>
        <v>2018</v>
      </c>
      <c r="D329" s="346" t="str">
        <f aca="false">'LT records'!$C329&amp;"-"&amp;MONTH('LT records'!$B329)</f>
        <v>2018-4</v>
      </c>
      <c r="E329" s="324" t="s">
        <v>297</v>
      </c>
      <c r="F329" s="324" t="str">
        <f aca="false">LEFT('LT records'!$E329,3)</f>
        <v>DEP</v>
      </c>
      <c r="G329" s="324" t="str">
        <f aca="false">IF(OR('LT records'!$F329="MyF", 'LT records'!$F329="DEP"),"DEP",IF('LT records'!$F329="CSH","CSH",IF('LT records'!$F329="BON","BND",IF('LT records'!$F329="Sma","MKT",IF(OR('LT records'!$F329="Val", 'LT records'!$F329="EUR"),"FCY",IF('LT records'!$F329="X-P","PP3",IF('LT records'!$F329="X-m","XAU","???")))))))</f>
        <v>DEP</v>
      </c>
      <c r="H329" s="325" t="n">
        <v>10000</v>
      </c>
      <c r="I329" s="340"/>
      <c r="J329" s="325"/>
      <c r="K329" s="340"/>
      <c r="L329" s="341" t="s">
        <v>449</v>
      </c>
      <c r="M329" s="350" t="str">
        <f aca="false">YEAR('LT records'!$B329)&amp;"-"&amp;MONTH('LT records'!$B329)</f>
        <v>2018-4</v>
      </c>
      <c r="N329" s="343" t="n">
        <f aca="false">'LT records'!$H329+'LT records'!$I329</f>
        <v>10000</v>
      </c>
      <c r="P329" s="324"/>
      <c r="R329" s="326"/>
      <c r="U329" s="327"/>
    </row>
    <row r="330" customFormat="false" ht="12.8" hidden="false" customHeight="false" outlineLevel="0" collapsed="false">
      <c r="B330" s="351" t="n">
        <v>43192</v>
      </c>
      <c r="C330" s="348" t="n">
        <f aca="false">YEAR('LT records'!$B330)</f>
        <v>2018</v>
      </c>
      <c r="D330" s="346" t="str">
        <f aca="false">'LT records'!$C330&amp;"-"&amp;MONTH('LT records'!$B330)</f>
        <v>2018-4</v>
      </c>
      <c r="E330" s="324" t="s">
        <v>14</v>
      </c>
      <c r="F330" s="324" t="str">
        <f aca="false">LEFT('LT records'!$E330,3)</f>
        <v>CSH</v>
      </c>
      <c r="G330" s="324" t="str">
        <f aca="false">IF(OR('LT records'!$F330="MyF", 'LT records'!$F330="DEP"),"DEP",IF('LT records'!$F330="CSH","CSH",IF('LT records'!$F330="BON","BND",IF('LT records'!$F330="Sma","MKT",IF(OR('LT records'!$F330="Val", 'LT records'!$F330="EUR"),"FCY",IF('LT records'!$F330="X-P","PP3",IF('LT records'!$F330="X-m","XAU","???")))))))</f>
        <v>CSH</v>
      </c>
      <c r="H330" s="325" t="n">
        <v>-10000</v>
      </c>
      <c r="I330" s="340" t="n">
        <f aca="false">0.29+1.04</f>
        <v>1.33</v>
      </c>
      <c r="J330" s="325"/>
      <c r="K330" s="340"/>
      <c r="L330" s="341" t="s">
        <v>448</v>
      </c>
      <c r="M330" s="350" t="str">
        <f aca="false">YEAR('LT records'!$B330)&amp;"-"&amp;MONTH('LT records'!$B330)</f>
        <v>2018-4</v>
      </c>
      <c r="N330" s="343" t="n">
        <f aca="false">'LT records'!$H330+'LT records'!$I330</f>
        <v>-9998.67</v>
      </c>
      <c r="P330" s="324"/>
      <c r="R330" s="326"/>
      <c r="U330" s="327"/>
    </row>
    <row r="331" customFormat="false" ht="12.8" hidden="false" customHeight="false" outlineLevel="0" collapsed="false">
      <c r="B331" s="351" t="n">
        <v>43192</v>
      </c>
      <c r="C331" s="348" t="n">
        <f aca="false">YEAR('LT records'!$B331)</f>
        <v>2018</v>
      </c>
      <c r="D331" s="346" t="str">
        <f aca="false">'LT records'!$C331&amp;"-"&amp;MONTH('LT records'!$B331)</f>
        <v>2018-4</v>
      </c>
      <c r="E331" s="324" t="s">
        <v>301</v>
      </c>
      <c r="F331" s="324" t="str">
        <f aca="false">LEFT('LT records'!$E331,3)</f>
        <v>DEP</v>
      </c>
      <c r="G331" s="324" t="str">
        <f aca="false">IF(OR('LT records'!$F331="MyF", 'LT records'!$F331="DEP"),"DEP",IF('LT records'!$F331="CSH","CSH",IF('LT records'!$F331="BON","BND",IF('LT records'!$F331="Sma","MKT",IF(OR('LT records'!$F331="Val", 'LT records'!$F331="EUR"),"FCY",IF('LT records'!$F331="X-P","PP3",IF('LT records'!$F331="X-m","XAU","???")))))))</f>
        <v>DEP</v>
      </c>
      <c r="H331" s="325" t="n">
        <v>10000</v>
      </c>
      <c r="I331" s="340"/>
      <c r="J331" s="325"/>
      <c r="K331" s="340"/>
      <c r="L331" s="341" t="s">
        <v>449</v>
      </c>
      <c r="M331" s="350" t="str">
        <f aca="false">YEAR('LT records'!$B331)&amp;"-"&amp;MONTH('LT records'!$B331)</f>
        <v>2018-4</v>
      </c>
      <c r="N331" s="343" t="n">
        <f aca="false">'LT records'!$H331+'LT records'!$I331</f>
        <v>10000</v>
      </c>
      <c r="P331" s="324"/>
      <c r="R331" s="326"/>
      <c r="U331" s="327"/>
    </row>
    <row r="332" customFormat="false" ht="12.8" hidden="false" customHeight="false" outlineLevel="0" collapsed="false">
      <c r="B332" s="351" t="n">
        <v>43192</v>
      </c>
      <c r="C332" s="348" t="n">
        <f aca="false">YEAR('LT records'!$B332)</f>
        <v>2018</v>
      </c>
      <c r="D332" s="346" t="str">
        <f aca="false">'LT records'!$C332&amp;"-"&amp;MONTH('LT records'!$B332)</f>
        <v>2018-4</v>
      </c>
      <c r="E332" s="324" t="s">
        <v>444</v>
      </c>
      <c r="F332" s="324" t="str">
        <f aca="false">LEFT('LT records'!$E332,3)</f>
        <v>Val</v>
      </c>
      <c r="G332" s="324" t="str">
        <f aca="false">IF(OR('LT records'!$F332="MyF", 'LT records'!$F332="DEP"),"DEP",IF('LT records'!$F332="CSH","CSH",IF('LT records'!$F332="BON","BND",IF('LT records'!$F332="Sma","MKT",IF(OR('LT records'!$F332="Val", 'LT records'!$F332="EUR"),"FCY",IF('LT records'!$F332="X-P","PP3",IF('LT records'!$F332="X-m","XAU","???")))))))</f>
        <v>FCY</v>
      </c>
      <c r="H332" s="325" t="n">
        <v>233.5</v>
      </c>
      <c r="I332" s="340"/>
      <c r="J332" s="325" t="n">
        <v>50</v>
      </c>
      <c r="K332" s="340"/>
      <c r="L332" s="341" t="s">
        <v>450</v>
      </c>
      <c r="M332" s="350" t="str">
        <f aca="false">YEAR('LT records'!$B332)&amp;"-"&amp;MONTH('LT records'!$B332)</f>
        <v>2018-4</v>
      </c>
      <c r="N332" s="343" t="n">
        <f aca="false">'LT records'!$H332+'LT records'!$I332</f>
        <v>233.5</v>
      </c>
      <c r="P332" s="326"/>
      <c r="S332" s="327"/>
    </row>
    <row r="333" customFormat="false" ht="12.8" hidden="false" customHeight="false" outlineLevel="0" collapsed="false">
      <c r="B333" s="351" t="n">
        <v>43193</v>
      </c>
      <c r="C333" s="348" t="n">
        <f aca="false">YEAR('LT records'!$B333)</f>
        <v>2018</v>
      </c>
      <c r="D333" s="346" t="str">
        <f aca="false">'LT records'!$C333&amp;"-"&amp;MONTH('LT records'!$B333)</f>
        <v>2018-4</v>
      </c>
      <c r="E333" s="324" t="s">
        <v>444</v>
      </c>
      <c r="F333" s="324" t="str">
        <f aca="false">LEFT('LT records'!$E333,3)</f>
        <v>Val</v>
      </c>
      <c r="G333" s="324" t="str">
        <f aca="false">IF(OR('LT records'!$F333="MyF", 'LT records'!$F333="DEP"),"DEP",IF('LT records'!$F333="CSH","CSH",IF('LT records'!$F333="BON","BND",IF('LT records'!$F333="Sma","MKT",IF(OR('LT records'!$F333="Val", 'LT records'!$F333="EUR"),"FCY",IF('LT records'!$F333="X-P","PP3",IF('LT records'!$F333="X-m","XAU","???")))))))</f>
        <v>FCY</v>
      </c>
      <c r="H333" s="325" t="n">
        <v>233.5</v>
      </c>
      <c r="I333" s="340"/>
      <c r="J333" s="325" t="n">
        <v>50</v>
      </c>
      <c r="K333" s="340"/>
      <c r="L333" s="341" t="s">
        <v>450</v>
      </c>
      <c r="M333" s="350" t="str">
        <f aca="false">YEAR('LT records'!$B333)&amp;"-"&amp;MONTH('LT records'!$B333)</f>
        <v>2018-4</v>
      </c>
      <c r="N333" s="343" t="n">
        <f aca="false">'LT records'!$H333+'LT records'!$I333</f>
        <v>233.5</v>
      </c>
      <c r="P333" s="326"/>
      <c r="S333" s="327"/>
    </row>
    <row r="334" customFormat="false" ht="12.8" hidden="false" customHeight="false" outlineLevel="0" collapsed="false">
      <c r="B334" s="351" t="n">
        <v>43194</v>
      </c>
      <c r="C334" s="348" t="n">
        <f aca="false">YEAR('LT records'!$B334)</f>
        <v>2018</v>
      </c>
      <c r="D334" s="346" t="str">
        <f aca="false">'LT records'!$C334&amp;"-"&amp;MONTH('LT records'!$B334)</f>
        <v>2018-4</v>
      </c>
      <c r="E334" s="324" t="s">
        <v>444</v>
      </c>
      <c r="F334" s="324" t="str">
        <f aca="false">LEFT('LT records'!$E334,3)</f>
        <v>Val</v>
      </c>
      <c r="G334" s="324" t="str">
        <f aca="false">IF(OR('LT records'!$F334="MyF", 'LT records'!$F334="DEP"),"DEP",IF('LT records'!$F334="CSH","CSH",IF('LT records'!$F334="BON","BND",IF('LT records'!$F334="Sma","MKT",IF(OR('LT records'!$F334="Val", 'LT records'!$F334="EUR"),"FCY",IF('LT records'!$F334="X-P","PP3",IF('LT records'!$F334="X-m","XAU","???")))))))</f>
        <v>FCY</v>
      </c>
      <c r="H334" s="325" t="n">
        <v>233.5</v>
      </c>
      <c r="I334" s="340"/>
      <c r="J334" s="325" t="n">
        <v>50</v>
      </c>
      <c r="K334" s="340"/>
      <c r="L334" s="341" t="s">
        <v>450</v>
      </c>
      <c r="M334" s="350" t="str">
        <f aca="false">YEAR('LT records'!$B334)&amp;"-"&amp;MONTH('LT records'!$B334)</f>
        <v>2018-4</v>
      </c>
      <c r="N334" s="343" t="n">
        <f aca="false">'LT records'!$H334+'LT records'!$I334</f>
        <v>233.5</v>
      </c>
      <c r="P334" s="326"/>
      <c r="S334" s="327"/>
    </row>
    <row r="335" customFormat="false" ht="12.8" hidden="false" customHeight="false" outlineLevel="0" collapsed="false">
      <c r="B335" s="351" t="n">
        <v>43197</v>
      </c>
      <c r="C335" s="348" t="n">
        <f aca="false">YEAR('LT records'!$B335)</f>
        <v>2018</v>
      </c>
      <c r="D335" s="346" t="str">
        <f aca="false">'LT records'!$C335&amp;"-"&amp;MONTH('LT records'!$B335)</f>
        <v>2018-4</v>
      </c>
      <c r="E335" s="324" t="s">
        <v>444</v>
      </c>
      <c r="F335" s="324" t="str">
        <f aca="false">LEFT('LT records'!$E335,3)</f>
        <v>Val</v>
      </c>
      <c r="G335" s="324" t="str">
        <f aca="false">IF(OR('LT records'!$F335="MyF", 'LT records'!$F335="DEP"),"DEP",IF('LT records'!$F335="CSH","CSH",IF('LT records'!$F335="BON","BND",IF('LT records'!$F335="Sma","MKT",IF(OR('LT records'!$F335="Val", 'LT records'!$F335="EUR"),"FCY",IF('LT records'!$F335="X-P","PP3",IF('LT records'!$F335="X-m","XAU","???")))))))</f>
        <v>FCY</v>
      </c>
      <c r="H335" s="325" t="n">
        <v>234</v>
      </c>
      <c r="I335" s="340"/>
      <c r="J335" s="325" t="n">
        <v>50</v>
      </c>
      <c r="K335" s="340"/>
      <c r="L335" s="341" t="s">
        <v>451</v>
      </c>
      <c r="M335" s="350" t="str">
        <f aca="false">YEAR('LT records'!$B335)&amp;"-"&amp;MONTH('LT records'!$B335)</f>
        <v>2018-4</v>
      </c>
      <c r="N335" s="343" t="n">
        <f aca="false">'LT records'!$H335+'LT records'!$I335</f>
        <v>234</v>
      </c>
      <c r="P335" s="326"/>
      <c r="S335" s="327"/>
    </row>
    <row r="336" customFormat="false" ht="12.8" hidden="false" customHeight="false" outlineLevel="0" collapsed="false">
      <c r="B336" s="351" t="n">
        <v>43200</v>
      </c>
      <c r="C336" s="348" t="n">
        <f aca="false">YEAR('LT records'!$B336)</f>
        <v>2018</v>
      </c>
      <c r="D336" s="346" t="str">
        <f aca="false">'LT records'!$C336&amp;"-"&amp;MONTH('LT records'!$B336)</f>
        <v>2018-4</v>
      </c>
      <c r="E336" s="324" t="s">
        <v>444</v>
      </c>
      <c r="F336" s="324" t="str">
        <f aca="false">LEFT('LT records'!$E336,3)</f>
        <v>Val</v>
      </c>
      <c r="G336" s="324" t="str">
        <f aca="false">IF(OR('LT records'!$F336="MyF", 'LT records'!$F336="DEP"),"DEP",IF('LT records'!$F336="CSH","CSH",IF('LT records'!$F336="BON","BND",IF('LT records'!$F336="Sma","MKT",IF(OR('LT records'!$F336="Val", 'LT records'!$F336="EUR"),"FCY",IF('LT records'!$F336="X-P","PP3",IF('LT records'!$F336="X-m","XAU","???")))))))</f>
        <v>FCY</v>
      </c>
      <c r="H336" s="325" t="n">
        <v>0</v>
      </c>
      <c r="I336" s="340"/>
      <c r="J336" s="340" t="n">
        <f aca="false">-10+1</f>
        <v>-9</v>
      </c>
      <c r="K336" s="340"/>
      <c r="L336" s="341" t="s">
        <v>452</v>
      </c>
      <c r="M336" s="350" t="str">
        <f aca="false">YEAR('LT records'!$B336)&amp;"-"&amp;MONTH('LT records'!$B336)</f>
        <v>2018-4</v>
      </c>
      <c r="N336" s="343" t="n">
        <f aca="false">'LT records'!$H336+'LT records'!$I336</f>
        <v>0</v>
      </c>
      <c r="P336" s="326"/>
      <c r="S336" s="327"/>
    </row>
    <row r="337" customFormat="false" ht="12.8" hidden="false" customHeight="false" outlineLevel="0" collapsed="false">
      <c r="B337" s="351" t="n">
        <v>43201</v>
      </c>
      <c r="C337" s="348" t="n">
        <f aca="false">YEAR('LT records'!$B337)</f>
        <v>2018</v>
      </c>
      <c r="D337" s="346" t="str">
        <f aca="false">'LT records'!$C337&amp;"-"&amp;MONTH('LT records'!$B337)</f>
        <v>2018-4</v>
      </c>
      <c r="E337" s="324" t="s">
        <v>444</v>
      </c>
      <c r="F337" s="324" t="str">
        <f aca="false">LEFT('LT records'!$E337,3)</f>
        <v>Val</v>
      </c>
      <c r="G337" s="324" t="str">
        <f aca="false">IF(OR('LT records'!$F337="MyF", 'LT records'!$F337="DEP"),"DEP",IF('LT records'!$F337="CSH","CSH",IF('LT records'!$F337="BON","BND",IF('LT records'!$F337="Sma","MKT",IF(OR('LT records'!$F337="Val", 'LT records'!$F337="EUR"),"FCY",IF('LT records'!$F337="X-P","PP3",IF('LT records'!$F337="X-m","XAU","???")))))))</f>
        <v>FCY</v>
      </c>
      <c r="H337" s="325" t="n">
        <v>0</v>
      </c>
      <c r="I337" s="340"/>
      <c r="J337" s="340" t="n">
        <v>-800</v>
      </c>
      <c r="K337" s="340"/>
      <c r="L337" s="341" t="s">
        <v>449</v>
      </c>
      <c r="M337" s="350" t="str">
        <f aca="false">YEAR('LT records'!$B337)&amp;"-"&amp;MONTH('LT records'!$B337)</f>
        <v>2018-4</v>
      </c>
      <c r="N337" s="343" t="n">
        <f aca="false">'LT records'!$H337+'LT records'!$I337</f>
        <v>0</v>
      </c>
      <c r="P337" s="326"/>
      <c r="S337" s="327"/>
    </row>
    <row r="338" customFormat="false" ht="12.8" hidden="false" customHeight="false" outlineLevel="0" collapsed="false">
      <c r="B338" s="351" t="n">
        <v>43201</v>
      </c>
      <c r="C338" s="348" t="n">
        <f aca="false">YEAR('LT records'!$B338)</f>
        <v>2018</v>
      </c>
      <c r="D338" s="346" t="str">
        <f aca="false">'LT records'!$C338&amp;"-"&amp;MONTH('LT records'!$B338)</f>
        <v>2018-4</v>
      </c>
      <c r="E338" s="324" t="s">
        <v>453</v>
      </c>
      <c r="F338" s="324" t="str">
        <f aca="false">LEFT('LT records'!$E338,3)</f>
        <v>EUR</v>
      </c>
      <c r="G338" s="324" t="str">
        <f aca="false">IF(OR('LT records'!$F338="MyF", 'LT records'!$F338="DEP"),"DEP",IF('LT records'!$F338="CSH","CSH",IF('LT records'!$F338="BON","BND",IF('LT records'!$F338="Sma","MKT",IF(OR('LT records'!$F338="Val", 'LT records'!$F338="EUR"),"FCY",IF('LT records'!$F338="X-P","PP3",IF('LT records'!$F338="X-m","XAU","???")))))))</f>
        <v>FCY</v>
      </c>
      <c r="H338" s="325" t="n">
        <v>0</v>
      </c>
      <c r="I338" s="340"/>
      <c r="J338" s="340" t="n">
        <v>800</v>
      </c>
      <c r="K338" s="340"/>
      <c r="L338" s="341" t="s">
        <v>449</v>
      </c>
      <c r="M338" s="350" t="str">
        <f aca="false">YEAR('LT records'!$B338)&amp;"-"&amp;MONTH('LT records'!$B338)</f>
        <v>2018-4</v>
      </c>
      <c r="N338" s="343" t="n">
        <f aca="false">'LT records'!$H338+'LT records'!$I338</f>
        <v>0</v>
      </c>
      <c r="P338" s="326"/>
      <c r="S338" s="327"/>
    </row>
    <row r="339" customFormat="false" ht="12.8" hidden="false" customHeight="false" outlineLevel="0" collapsed="false">
      <c r="B339" s="351" t="n">
        <v>43201</v>
      </c>
      <c r="C339" s="348" t="n">
        <f aca="false">YEAR('LT records'!$B339)</f>
        <v>2018</v>
      </c>
      <c r="D339" s="346" t="str">
        <f aca="false">'LT records'!$C339&amp;"-"&amp;MONTH('LT records'!$B339)</f>
        <v>2018-4</v>
      </c>
      <c r="E339" s="324" t="s">
        <v>444</v>
      </c>
      <c r="F339" s="324" t="str">
        <f aca="false">LEFT('LT records'!$E339,3)</f>
        <v>Val</v>
      </c>
      <c r="G339" s="324" t="str">
        <f aca="false">IF(OR('LT records'!$F339="MyF", 'LT records'!$F339="DEP"),"DEP",IF('LT records'!$F339="CSH","CSH",IF('LT records'!$F339="BON","BND",IF('LT records'!$F339="Sma","MKT",IF(OR('LT records'!$F339="Val", 'LT records'!$F339="EUR"),"FCY",IF('LT records'!$F339="X-P","PP3",IF('LT records'!$F339="X-m","XAU","???")))))))</f>
        <v>FCY</v>
      </c>
      <c r="H339" s="325" t="n">
        <f aca="false">234+234+234.5</f>
        <v>702.5</v>
      </c>
      <c r="I339" s="340"/>
      <c r="J339" s="340" t="n">
        <f aca="false">50+50+50</f>
        <v>150</v>
      </c>
      <c r="K339" s="340" t="n">
        <f aca="false">0.03+0.03</f>
        <v>0.06</v>
      </c>
      <c r="L339" s="341" t="s">
        <v>454</v>
      </c>
      <c r="M339" s="350" t="str">
        <f aca="false">YEAR('LT records'!$B339)&amp;"-"&amp;MONTH('LT records'!$B339)</f>
        <v>2018-4</v>
      </c>
      <c r="N339" s="343" t="n">
        <f aca="false">'LT records'!$H339+'LT records'!$I339</f>
        <v>702.5</v>
      </c>
      <c r="P339" s="326"/>
      <c r="S339" s="327"/>
    </row>
    <row r="340" customFormat="false" ht="12.8" hidden="false" customHeight="false" outlineLevel="0" collapsed="false">
      <c r="B340" s="351" t="n">
        <v>43205</v>
      </c>
      <c r="C340" s="348" t="n">
        <f aca="false">YEAR('LT records'!$B340)</f>
        <v>2018</v>
      </c>
      <c r="D340" s="346" t="str">
        <f aca="false">'LT records'!$C340&amp;"-"&amp;MONTH('LT records'!$B340)</f>
        <v>2018-4</v>
      </c>
      <c r="E340" s="324" t="s">
        <v>14</v>
      </c>
      <c r="F340" s="324" t="str">
        <f aca="false">LEFT('LT records'!$E340,3)</f>
        <v>CSH</v>
      </c>
      <c r="G340" s="324" t="str">
        <f aca="false">IF(OR('LT records'!$F340="MyF", 'LT records'!$F340="DEP"),"DEP",IF('LT records'!$F340="CSH","CSH",IF('LT records'!$F340="BON","BND",IF('LT records'!$F340="Sma","MKT",IF(OR('LT records'!$F340="Val", 'LT records'!$F340="EUR"),"FCY",IF('LT records'!$F340="X-P","PP3",IF('LT records'!$F340="X-m","XAU","???")))))))</f>
        <v>CSH</v>
      </c>
      <c r="H340" s="325" t="n">
        <v>-47</v>
      </c>
      <c r="I340" s="340" t="n">
        <v>0.65</v>
      </c>
      <c r="J340" s="340"/>
      <c r="K340" s="340"/>
      <c r="L340" s="341" t="s">
        <v>455</v>
      </c>
      <c r="M340" s="350" t="str">
        <f aca="false">YEAR('LT records'!$B340)&amp;"-"&amp;MONTH('LT records'!$B340)</f>
        <v>2018-4</v>
      </c>
      <c r="N340" s="343" t="n">
        <f aca="false">'LT records'!$H340+'LT records'!$I340</f>
        <v>-46.35</v>
      </c>
      <c r="P340" s="326"/>
      <c r="S340" s="327"/>
    </row>
    <row r="341" customFormat="false" ht="12.8" hidden="false" customHeight="false" outlineLevel="0" collapsed="false">
      <c r="B341" s="351" t="n">
        <v>43205</v>
      </c>
      <c r="C341" s="348" t="n">
        <f aca="false">YEAR('LT records'!$B341)</f>
        <v>2018</v>
      </c>
      <c r="D341" s="346" t="str">
        <f aca="false">'LT records'!$C341&amp;"-"&amp;MONTH('LT records'!$B341)</f>
        <v>2018-4</v>
      </c>
      <c r="E341" s="324" t="s">
        <v>444</v>
      </c>
      <c r="F341" s="324" t="str">
        <f aca="false">LEFT('LT records'!$E341,3)</f>
        <v>Val</v>
      </c>
      <c r="G341" s="324" t="str">
        <f aca="false">IF(OR('LT records'!$F341="MyF", 'LT records'!$F341="DEP"),"DEP",IF('LT records'!$F341="CSH","CSH",IF('LT records'!$F341="BON","BND",IF('LT records'!$F341="Sma","MKT",IF(OR('LT records'!$F341="Val", 'LT records'!$F341="EUR"),"FCY",IF('LT records'!$F341="X-P","PP3",IF('LT records'!$F341="X-m","XAU","???")))))))</f>
        <v>FCY</v>
      </c>
      <c r="H341" s="325" t="n">
        <v>47.02</v>
      </c>
      <c r="I341" s="340"/>
      <c r="J341" s="340" t="n">
        <v>10</v>
      </c>
      <c r="K341" s="340" t="n">
        <f aca="false">0.06+0.03+0.03</f>
        <v>0.12</v>
      </c>
      <c r="L341" s="341" t="s">
        <v>456</v>
      </c>
      <c r="M341" s="350" t="str">
        <f aca="false">YEAR('LT records'!$B341)&amp;"-"&amp;MONTH('LT records'!$B341)</f>
        <v>2018-4</v>
      </c>
      <c r="N341" s="343" t="n">
        <f aca="false">'LT records'!$H341+'LT records'!$I341</f>
        <v>47.02</v>
      </c>
      <c r="P341" s="326"/>
      <c r="S341" s="327"/>
    </row>
    <row r="342" customFormat="false" ht="12.8" hidden="false" customHeight="false" outlineLevel="0" collapsed="false">
      <c r="B342" s="351" t="n">
        <v>43207</v>
      </c>
      <c r="C342" s="348" t="n">
        <f aca="false">YEAR('LT records'!$B342)</f>
        <v>2018</v>
      </c>
      <c r="D342" s="346" t="str">
        <f aca="false">'LT records'!$C342&amp;"-"&amp;MONTH('LT records'!$B342)</f>
        <v>2018-4</v>
      </c>
      <c r="E342" s="324" t="s">
        <v>14</v>
      </c>
      <c r="F342" s="324" t="str">
        <f aca="false">LEFT('LT records'!$E342,3)</f>
        <v>CSH</v>
      </c>
      <c r="G342" s="324" t="str">
        <f aca="false">IF(OR('LT records'!$F342="MyF", 'LT records'!$F342="DEP"),"DEP",IF('LT records'!$F342="CSH","CSH",IF('LT records'!$F342="BON","BND",IF('LT records'!$F342="Sma","MKT",IF(OR('LT records'!$F342="Val", 'LT records'!$F342="EUR"),"FCY",IF('LT records'!$F342="X-P","PP3",IF('LT records'!$F342="X-m","XAU","???")))))))</f>
        <v>CSH</v>
      </c>
      <c r="H342" s="325" t="n">
        <f aca="false">-75-400-305+504+1760-60-70-468-70-200.01-500</f>
        <v>115.99</v>
      </c>
      <c r="I342" s="340" t="n">
        <f aca="false">0.26+0.83+0.15+0.14</f>
        <v>1.38</v>
      </c>
      <c r="J342" s="340"/>
      <c r="K342" s="340"/>
      <c r="L342" s="341" t="s">
        <v>457</v>
      </c>
      <c r="M342" s="350" t="str">
        <f aca="false">YEAR('LT records'!$B342)&amp;"-"&amp;MONTH('LT records'!$B342)</f>
        <v>2018-4</v>
      </c>
      <c r="N342" s="343" t="n">
        <f aca="false">'LT records'!$H342+'LT records'!$I342</f>
        <v>117.37</v>
      </c>
      <c r="P342" s="326"/>
      <c r="S342" s="327"/>
    </row>
    <row r="343" customFormat="false" ht="12.8" hidden="false" customHeight="false" outlineLevel="0" collapsed="false">
      <c r="B343" s="351" t="n">
        <v>43209</v>
      </c>
      <c r="C343" s="348" t="n">
        <f aca="false">YEAR('LT records'!$B343)</f>
        <v>2018</v>
      </c>
      <c r="D343" s="346" t="str">
        <f aca="false">'LT records'!$C343&amp;"-"&amp;MONTH('LT records'!$B343)</f>
        <v>2018-4</v>
      </c>
      <c r="E343" s="324" t="s">
        <v>318</v>
      </c>
      <c r="F343" s="324" t="str">
        <f aca="false">LEFT('LT records'!$E343,3)</f>
        <v>X-P</v>
      </c>
      <c r="G343" s="324" t="str">
        <f aca="false">IF(OR('LT records'!$F343="MyF", 'LT records'!$F343="DEP"),"DEP",IF('LT records'!$F343="CSH","CSH",IF('LT records'!$F343="BON","BND",IF('LT records'!$F343="Sma","MKT",IF(OR('LT records'!$F343="Val", 'LT records'!$F343="EUR"),"FCY",IF('LT records'!$F343="X-P","PP3",IF('LT records'!$F343="X-m","XAU","???")))))))</f>
        <v>PP3</v>
      </c>
      <c r="H343" s="325" t="n">
        <v>150</v>
      </c>
      <c r="I343" s="340"/>
      <c r="J343" s="325"/>
      <c r="K343" s="340"/>
      <c r="L343" s="341" t="s">
        <v>443</v>
      </c>
      <c r="M343" s="350" t="str">
        <f aca="false">YEAR('LT records'!$B343)&amp;"-"&amp;MONTH('LT records'!$B343)</f>
        <v>2018-4</v>
      </c>
      <c r="N343" s="343" t="n">
        <f aca="false">'LT records'!$H343+'LT records'!$I343</f>
        <v>150</v>
      </c>
      <c r="P343" s="326"/>
      <c r="S343" s="327"/>
    </row>
    <row r="344" customFormat="false" ht="12.8" hidden="false" customHeight="false" outlineLevel="0" collapsed="false">
      <c r="B344" s="351" t="n">
        <v>43210</v>
      </c>
      <c r="C344" s="348" t="n">
        <f aca="false">YEAR('LT records'!$B344)</f>
        <v>2018</v>
      </c>
      <c r="D344" s="346" t="str">
        <f aca="false">'LT records'!$C344&amp;"-"&amp;MONTH('LT records'!$B344)</f>
        <v>2018-4</v>
      </c>
      <c r="E344" s="324" t="s">
        <v>444</v>
      </c>
      <c r="F344" s="324" t="str">
        <f aca="false">LEFT('LT records'!$E344,3)</f>
        <v>Val</v>
      </c>
      <c r="G344" s="324" t="str">
        <f aca="false">IF(OR('LT records'!$F344="MyF", 'LT records'!$F344="DEP"),"DEP",IF('LT records'!$F344="CSH","CSH",IF('LT records'!$F344="BON","BND",IF('LT records'!$F344="Sma","MKT",IF(OR('LT records'!$F344="Val", 'LT records'!$F344="EUR"),"FCY",IF('LT records'!$F344="X-P","PP3",IF('LT records'!$F344="X-m","XAU","???")))))))</f>
        <v>FCY</v>
      </c>
      <c r="H344" s="325" t="n">
        <f aca="false">234.23+234.16+234.02+200.01+52.02+233.5</f>
        <v>1187.94</v>
      </c>
      <c r="I344" s="340"/>
      <c r="J344" s="340" t="n">
        <f aca="false">50+50+50+42.8+11.13+50</f>
        <v>253.93</v>
      </c>
      <c r="K344" s="340" t="n">
        <f aca="false">0.09+0.15</f>
        <v>0.24</v>
      </c>
      <c r="L344" s="341" t="s">
        <v>458</v>
      </c>
      <c r="M344" s="350" t="str">
        <f aca="false">YEAR('LT records'!$B344)&amp;"-"&amp;MONTH('LT records'!$B344)</f>
        <v>2018-4</v>
      </c>
      <c r="N344" s="343" t="n">
        <f aca="false">'LT records'!$H344+'LT records'!$I344</f>
        <v>1187.94</v>
      </c>
      <c r="P344" s="326"/>
      <c r="S344" s="327"/>
    </row>
    <row r="345" customFormat="false" ht="12.8" hidden="false" customHeight="false" outlineLevel="0" collapsed="false">
      <c r="B345" s="351" t="n">
        <v>43215</v>
      </c>
      <c r="C345" s="348" t="n">
        <f aca="false">YEAR('LT records'!$B345)</f>
        <v>2018</v>
      </c>
      <c r="D345" s="346" t="str">
        <f aca="false">'LT records'!$C345&amp;"-"&amp;MONTH('LT records'!$B345)</f>
        <v>2018-4</v>
      </c>
      <c r="E345" s="324" t="s">
        <v>318</v>
      </c>
      <c r="F345" s="324" t="str">
        <f aca="false">LEFT('LT records'!$E345,3)</f>
        <v>X-P</v>
      </c>
      <c r="G345" s="324" t="str">
        <f aca="false">IF(OR('LT records'!$F345="MyF", 'LT records'!$F345="DEP"),"DEP",IF('LT records'!$F345="CSH","CSH",IF('LT records'!$F345="BON","BND",IF('LT records'!$F345="Sma","MKT",IF(OR('LT records'!$F345="Val", 'LT records'!$F345="EUR"),"FCY",IF('LT records'!$F345="X-P","PP3",IF('LT records'!$F345="X-m","XAU","???")))))))</f>
        <v>PP3</v>
      </c>
      <c r="H345" s="325" t="n">
        <v>300</v>
      </c>
      <c r="I345" s="340"/>
      <c r="J345" s="340"/>
      <c r="K345" s="340"/>
      <c r="L345" s="341" t="s">
        <v>459</v>
      </c>
      <c r="M345" s="350" t="str">
        <f aca="false">YEAR('LT records'!$B345)&amp;"-"&amp;MONTH('LT records'!$B345)</f>
        <v>2018-4</v>
      </c>
      <c r="N345" s="343" t="n">
        <f aca="false">'LT records'!$H345+'LT records'!$I345</f>
        <v>300</v>
      </c>
      <c r="P345" s="326"/>
      <c r="S345" s="327"/>
    </row>
    <row r="346" customFormat="false" ht="12.8" hidden="false" customHeight="false" outlineLevel="0" collapsed="false">
      <c r="B346" s="351" t="n">
        <v>43215</v>
      </c>
      <c r="C346" s="348" t="n">
        <f aca="false">YEAR('LT records'!$B346)</f>
        <v>2018</v>
      </c>
      <c r="D346" s="346" t="str">
        <f aca="false">'LT records'!$C346&amp;"-"&amp;MONTH('LT records'!$B346)</f>
        <v>2018-4</v>
      </c>
      <c r="E346" s="324" t="s">
        <v>423</v>
      </c>
      <c r="F346" s="324" t="str">
        <f aca="false">LEFT('LT records'!$E346,3)</f>
        <v>Sma</v>
      </c>
      <c r="G346" s="324" t="str">
        <f aca="false">IF(OR('LT records'!$F346="MyF", 'LT records'!$F346="DEP"),"DEP",IF('LT records'!$F346="CSH","CSH",IF('LT records'!$F346="BON","BND",IF('LT records'!$F346="Sma","MKT",IF(OR('LT records'!$F346="Val", 'LT records'!$F346="EUR"),"FCY",IF('LT records'!$F346="X-P","PP3",IF('LT records'!$F346="X-m","XAU","???")))))))</f>
        <v>MKT</v>
      </c>
      <c r="H346" s="325" t="n">
        <v>1100</v>
      </c>
      <c r="I346" s="340"/>
      <c r="J346" s="340"/>
      <c r="K346" s="340"/>
      <c r="L346" s="341" t="s">
        <v>460</v>
      </c>
      <c r="M346" s="350" t="str">
        <f aca="false">YEAR('LT records'!$B346)&amp;"-"&amp;MONTH('LT records'!$B346)</f>
        <v>2018-4</v>
      </c>
      <c r="N346" s="343" t="n">
        <f aca="false">'LT records'!$H346+'LT records'!$I346</f>
        <v>1100</v>
      </c>
      <c r="P346" s="326"/>
      <c r="S346" s="327"/>
    </row>
    <row r="347" customFormat="false" ht="12.8" hidden="false" customHeight="false" outlineLevel="0" collapsed="false">
      <c r="B347" s="351" t="n">
        <v>43217</v>
      </c>
      <c r="C347" s="348" t="n">
        <f aca="false">YEAR('LT records'!$B347)</f>
        <v>2018</v>
      </c>
      <c r="D347" s="346" t="str">
        <f aca="false">'LT records'!$C347&amp;"-"&amp;MONTH('LT records'!$B347)</f>
        <v>2018-4</v>
      </c>
      <c r="E347" s="324" t="s">
        <v>355</v>
      </c>
      <c r="F347" s="324" t="str">
        <f aca="false">LEFT('LT records'!$E347,3)</f>
        <v>MyF</v>
      </c>
      <c r="G347" s="324" t="str">
        <f aca="false">IF(OR('LT records'!$F347="MyF", 'LT records'!$F347="DEP"),"DEP",IF('LT records'!$F347="CSH","CSH",IF('LT records'!$F347="BON","BND",IF('LT records'!$F347="Sma","MKT",IF(OR('LT records'!$F347="Val", 'LT records'!$F347="EUR"),"FCY",IF('LT records'!$F347="X-P","PP3",IF('LT records'!$F347="X-m","XAU","???")))))))</f>
        <v>DEP</v>
      </c>
      <c r="H347" s="325" t="n">
        <v>-10393.74</v>
      </c>
      <c r="I347" s="340" t="n">
        <f aca="false">143.7-14.37</f>
        <v>129.33</v>
      </c>
      <c r="J347" s="340"/>
      <c r="K347" s="340"/>
      <c r="L347" s="341" t="s">
        <v>461</v>
      </c>
      <c r="M347" s="350" t="str">
        <f aca="false">YEAR('LT records'!$B347)&amp;"-"&amp;MONTH('LT records'!$B347)</f>
        <v>2018-4</v>
      </c>
      <c r="N347" s="343" t="n">
        <f aca="false">'LT records'!$H347+'LT records'!$I347</f>
        <v>-10264.41</v>
      </c>
      <c r="P347" s="326"/>
      <c r="S347" s="327"/>
    </row>
    <row r="348" customFormat="false" ht="12.8" hidden="false" customHeight="false" outlineLevel="0" collapsed="false">
      <c r="B348" s="351" t="n">
        <v>43217</v>
      </c>
      <c r="C348" s="348" t="n">
        <f aca="false">YEAR('LT records'!$B348)</f>
        <v>2018</v>
      </c>
      <c r="D348" s="346" t="str">
        <f aca="false">'LT records'!$C348&amp;"-"&amp;MONTH('LT records'!$B348)</f>
        <v>2018-4</v>
      </c>
      <c r="E348" s="324" t="s">
        <v>14</v>
      </c>
      <c r="F348" s="324" t="str">
        <f aca="false">LEFT('LT records'!$E348,3)</f>
        <v>CSH</v>
      </c>
      <c r="G348" s="324" t="str">
        <f aca="false">IF(OR('LT records'!$F348="MyF", 'LT records'!$F348="DEP"),"DEP",IF('LT records'!$F348="CSH","CSH",IF('LT records'!$F348="BON","BND",IF('LT records'!$F348="Sma","MKT",IF(OR('LT records'!$F348="Val", 'LT records'!$F348="EUR"),"FCY",IF('LT records'!$F348="X-P","PP3",IF('LT records'!$F348="X-m","XAU","???")))))))</f>
        <v>CSH</v>
      </c>
      <c r="H348" s="325" t="n">
        <v>10263.75</v>
      </c>
      <c r="I348" s="340" t="n">
        <f aca="false">0.87</f>
        <v>0.87</v>
      </c>
      <c r="J348" s="340"/>
      <c r="K348" s="340"/>
      <c r="L348" s="341" t="s">
        <v>462</v>
      </c>
      <c r="M348" s="350" t="str">
        <f aca="false">YEAR('LT records'!$B348)&amp;"-"&amp;MONTH('LT records'!$B348)</f>
        <v>2018-4</v>
      </c>
      <c r="N348" s="343" t="n">
        <f aca="false">'LT records'!$H348+'LT records'!$I348</f>
        <v>10264.62</v>
      </c>
      <c r="P348" s="326"/>
      <c r="S348" s="327"/>
    </row>
    <row r="349" customFormat="false" ht="12.8" hidden="false" customHeight="false" outlineLevel="0" collapsed="false">
      <c r="B349" s="351" t="n">
        <v>43218</v>
      </c>
      <c r="C349" s="348" t="n">
        <f aca="false">YEAR('LT records'!$B349)</f>
        <v>2018</v>
      </c>
      <c r="D349" s="346" t="str">
        <f aca="false">'LT records'!$C349&amp;"-"&amp;MONTH('LT records'!$B349)</f>
        <v>2018-4</v>
      </c>
      <c r="E349" s="324" t="s">
        <v>14</v>
      </c>
      <c r="F349" s="324" t="str">
        <f aca="false">LEFT('LT records'!$E349,3)</f>
        <v>CSH</v>
      </c>
      <c r="G349" s="324" t="str">
        <f aca="false">IF(OR('LT records'!$F349="MyF", 'LT records'!$F349="DEP"),"DEP",IF('LT records'!$F349="CSH","CSH",IF('LT records'!$F349="BON","BND",IF('LT records'!$F349="Sma","MKT",IF(OR('LT records'!$F349="Val", 'LT records'!$F349="EUR"),"FCY",IF('LT records'!$F349="X-P","PP3",IF('LT records'!$F349="X-m","XAU","???")))))))</f>
        <v>CSH</v>
      </c>
      <c r="H349" s="325" t="n">
        <f aca="false">50-74</f>
        <v>-24</v>
      </c>
      <c r="I349" s="340"/>
      <c r="J349" s="340"/>
      <c r="K349" s="340"/>
      <c r="L349" s="341" t="s">
        <v>463</v>
      </c>
      <c r="M349" s="350" t="str">
        <f aca="false">YEAR('LT records'!$B349)&amp;"-"&amp;MONTH('LT records'!$B349)</f>
        <v>2018-4</v>
      </c>
      <c r="N349" s="343" t="n">
        <f aca="false">'LT records'!$H349+'LT records'!$I349</f>
        <v>-24</v>
      </c>
      <c r="P349" s="326"/>
      <c r="S349" s="327"/>
    </row>
    <row r="350" customFormat="false" ht="12.8" hidden="false" customHeight="false" outlineLevel="0" collapsed="false">
      <c r="B350" s="351" t="n">
        <v>43218</v>
      </c>
      <c r="C350" s="348" t="n">
        <f aca="false">YEAR('LT records'!$B350)</f>
        <v>2018</v>
      </c>
      <c r="D350" s="346" t="str">
        <f aca="false">'LT records'!$C350&amp;"-"&amp;MONTH('LT records'!$B350)</f>
        <v>2018-4</v>
      </c>
      <c r="E350" s="324" t="s">
        <v>444</v>
      </c>
      <c r="F350" s="324" t="str">
        <f aca="false">LEFT('LT records'!$E350,3)</f>
        <v>Val</v>
      </c>
      <c r="G350" s="324" t="str">
        <f aca="false">IF(OR('LT records'!$F350="MyF", 'LT records'!$F350="DEP"),"DEP",IF('LT records'!$F350="CSH","CSH",IF('LT records'!$F350="BON","BND",IF('LT records'!$F350="Sma","MKT",IF(OR('LT records'!$F350="Val", 'LT records'!$F350="EUR"),"FCY",IF('LT records'!$F350="X-P","PP3",IF('LT records'!$F350="X-m","XAU","???")))))))</f>
        <v>FCY</v>
      </c>
      <c r="H350" s="325" t="n">
        <v>0</v>
      </c>
      <c r="I350" s="340"/>
      <c r="J350" s="340"/>
      <c r="K350" s="340" t="n">
        <f aca="false">0.06+0.06</f>
        <v>0.12</v>
      </c>
      <c r="L350" s="341" t="s">
        <v>464</v>
      </c>
      <c r="M350" s="350" t="str">
        <f aca="false">YEAR('LT records'!$B350)&amp;"-"&amp;MONTH('LT records'!$B350)</f>
        <v>2018-4</v>
      </c>
      <c r="N350" s="343" t="n">
        <f aca="false">'LT records'!$H350+'LT records'!$I350</f>
        <v>0</v>
      </c>
      <c r="P350" s="326"/>
      <c r="S350" s="327"/>
    </row>
    <row r="351" customFormat="false" ht="12.8" hidden="false" customHeight="false" outlineLevel="0" collapsed="false">
      <c r="B351" s="351" t="n">
        <v>43221</v>
      </c>
      <c r="C351" s="348" t="n">
        <f aca="false">YEAR('LT records'!$B351)</f>
        <v>2018</v>
      </c>
      <c r="D351" s="346" t="str">
        <f aca="false">'LT records'!$C351&amp;"-"&amp;MONTH('LT records'!$B351)</f>
        <v>2018-5</v>
      </c>
      <c r="E351" s="324" t="s">
        <v>444</v>
      </c>
      <c r="F351" s="324" t="str">
        <f aca="false">LEFT('LT records'!$E351,3)</f>
        <v>Val</v>
      </c>
      <c r="G351" s="324" t="str">
        <f aca="false">IF(OR('LT records'!$F351="MyF", 'LT records'!$F351="DEP"),"DEP",IF('LT records'!$F351="CSH","CSH",IF('LT records'!$F351="BON","BND",IF('LT records'!$F351="Sma","MKT",IF(OR('LT records'!$F351="Val", 'LT records'!$F351="EUR"),"FCY",IF('LT records'!$F351="X-P","PP3",IF('LT records'!$F351="X-m","XAU","???")))))))</f>
        <v>FCY</v>
      </c>
      <c r="H351" s="325" t="n">
        <f aca="false">233.5</f>
        <v>233.5</v>
      </c>
      <c r="I351" s="340"/>
      <c r="J351" s="340" t="n">
        <f aca="false">50</f>
        <v>50</v>
      </c>
      <c r="K351" s="340"/>
      <c r="L351" s="341" t="s">
        <v>465</v>
      </c>
      <c r="M351" s="350" t="str">
        <f aca="false">YEAR('LT records'!$B351)&amp;"-"&amp;MONTH('LT records'!$B351)</f>
        <v>2018-5</v>
      </c>
      <c r="N351" s="343" t="n">
        <f aca="false">'LT records'!$H351+'LT records'!$I351</f>
        <v>233.5</v>
      </c>
      <c r="P351" s="326"/>
      <c r="S351" s="327"/>
    </row>
    <row r="352" customFormat="false" ht="12.8" hidden="false" customHeight="false" outlineLevel="0" collapsed="false">
      <c r="B352" s="351" t="n">
        <v>43221</v>
      </c>
      <c r="C352" s="348" t="n">
        <f aca="false">YEAR('LT records'!$B352)</f>
        <v>2018</v>
      </c>
      <c r="D352" s="346" t="str">
        <f aca="false">'LT records'!$C352&amp;"-"&amp;MONTH('LT records'!$B352)</f>
        <v>2018-5</v>
      </c>
      <c r="E352" s="324" t="s">
        <v>14</v>
      </c>
      <c r="F352" s="324" t="str">
        <f aca="false">LEFT('LT records'!$E352,3)</f>
        <v>CSH</v>
      </c>
      <c r="G352" s="324" t="str">
        <f aca="false">IF(OR('LT records'!$F352="MyF", 'LT records'!$F352="DEP"),"DEP",IF('LT records'!$F352="CSH","CSH",IF('LT records'!$F352="BON","BND",IF('LT records'!$F352="Sma","MKT",IF(OR('LT records'!$F352="Val", 'LT records'!$F352="EUR"),"FCY",IF('LT records'!$F352="X-P","PP3",IF('LT records'!$F352="X-m","XAU","???")))))))</f>
        <v>CSH</v>
      </c>
      <c r="H352" s="325" t="n">
        <v>-10000</v>
      </c>
      <c r="I352" s="340"/>
      <c r="J352" s="340"/>
      <c r="K352" s="340"/>
      <c r="L352" s="341" t="s">
        <v>466</v>
      </c>
      <c r="M352" s="350" t="str">
        <f aca="false">YEAR('LT records'!$B352)&amp;"-"&amp;MONTH('LT records'!$B352)</f>
        <v>2018-5</v>
      </c>
      <c r="N352" s="343" t="n">
        <f aca="false">'LT records'!$H352+'LT records'!$I352</f>
        <v>-10000</v>
      </c>
      <c r="P352" s="326"/>
      <c r="S352" s="327"/>
    </row>
    <row r="353" customFormat="false" ht="12.8" hidden="false" customHeight="false" outlineLevel="0" collapsed="false">
      <c r="B353" s="351" t="n">
        <v>43221</v>
      </c>
      <c r="C353" s="348" t="n">
        <f aca="false">YEAR('LT records'!$B353)</f>
        <v>2018</v>
      </c>
      <c r="D353" s="346" t="str">
        <f aca="false">'LT records'!$C353&amp;"-"&amp;MONTH('LT records'!$B353)</f>
        <v>2018-5</v>
      </c>
      <c r="E353" s="324" t="s">
        <v>298</v>
      </c>
      <c r="F353" s="324" t="str">
        <f aca="false">LEFT('LT records'!$E353,3)</f>
        <v>DEP</v>
      </c>
      <c r="G353" s="324" t="str">
        <f aca="false">IF(OR('LT records'!$F353="MyF", 'LT records'!$F353="DEP"),"DEP",IF('LT records'!$F353="CSH","CSH",IF('LT records'!$F353="BON","BND",IF('LT records'!$F353="Sma","MKT",IF(OR('LT records'!$F353="Val", 'LT records'!$F353="EUR"),"FCY",IF('LT records'!$F353="X-P","PP3",IF('LT records'!$F353="X-m","XAU","???")))))))</f>
        <v>DEP</v>
      </c>
      <c r="H353" s="325" t="n">
        <v>10000</v>
      </c>
      <c r="I353" s="340"/>
      <c r="J353" s="340"/>
      <c r="K353" s="340"/>
      <c r="L353" s="341" t="s">
        <v>466</v>
      </c>
      <c r="M353" s="350" t="str">
        <f aca="false">YEAR('LT records'!$B353)&amp;"-"&amp;MONTH('LT records'!$B353)</f>
        <v>2018-5</v>
      </c>
      <c r="N353" s="343" t="n">
        <f aca="false">'LT records'!$H353+'LT records'!$I353</f>
        <v>10000</v>
      </c>
      <c r="P353" s="326"/>
      <c r="S353" s="327"/>
    </row>
    <row r="354" customFormat="false" ht="12.8" hidden="false" customHeight="false" outlineLevel="0" collapsed="false">
      <c r="B354" s="351" t="n">
        <v>43221</v>
      </c>
      <c r="C354" s="348" t="n">
        <f aca="false">YEAR('LT records'!$B354)</f>
        <v>2018</v>
      </c>
      <c r="D354" s="346" t="str">
        <f aca="false">'LT records'!$C354&amp;"-"&amp;MONTH('LT records'!$B354)</f>
        <v>2018-5</v>
      </c>
      <c r="E354" s="324" t="s">
        <v>444</v>
      </c>
      <c r="F354" s="324" t="str">
        <f aca="false">LEFT('LT records'!$E354,3)</f>
        <v>Val</v>
      </c>
      <c r="G354" s="324" t="str">
        <f aca="false">IF(OR('LT records'!$F354="MyF", 'LT records'!$F354="DEP"),"DEP",IF('LT records'!$F354="CSH","CSH",IF('LT records'!$F354="BON","BND",IF('LT records'!$F354="Sma","MKT",IF(OR('LT records'!$F354="Val", 'LT records'!$F354="EUR"),"FCY",IF('LT records'!$F354="X-P","PP3",IF('LT records'!$F354="X-m","XAU","???")))))))</f>
        <v>FCY</v>
      </c>
      <c r="H354" s="325" t="n">
        <v>0</v>
      </c>
      <c r="I354" s="340"/>
      <c r="J354" s="340" t="n">
        <f aca="false">-800-0.1</f>
        <v>-800.1</v>
      </c>
      <c r="K354" s="340" t="n">
        <v>0.06</v>
      </c>
      <c r="L354" s="341" t="s">
        <v>467</v>
      </c>
      <c r="M354" s="350" t="str">
        <f aca="false">YEAR('LT records'!$B354)&amp;"-"&amp;MONTH('LT records'!$B354)</f>
        <v>2018-5</v>
      </c>
      <c r="N354" s="343" t="n">
        <f aca="false">'LT records'!$H354+'LT records'!$I354</f>
        <v>0</v>
      </c>
      <c r="P354" s="326"/>
      <c r="S354" s="327"/>
    </row>
    <row r="355" customFormat="false" ht="12.8" hidden="false" customHeight="false" outlineLevel="0" collapsed="false">
      <c r="B355" s="351" t="n">
        <v>43221</v>
      </c>
      <c r="C355" s="348" t="n">
        <f aca="false">YEAR('LT records'!$B355)</f>
        <v>2018</v>
      </c>
      <c r="D355" s="346" t="str">
        <f aca="false">'LT records'!$C355&amp;"-"&amp;MONTH('LT records'!$B355)</f>
        <v>2018-5</v>
      </c>
      <c r="E355" s="324" t="s">
        <v>468</v>
      </c>
      <c r="F355" s="324" t="str">
        <f aca="false">LEFT('LT records'!$E355,3)</f>
        <v>EUR</v>
      </c>
      <c r="G355" s="324" t="str">
        <f aca="false">IF(OR('LT records'!$F355="MyF", 'LT records'!$F355="DEP"),"DEP",IF('LT records'!$F355="CSH","CSH",IF('LT records'!$F355="BON","BND",IF('LT records'!$F355="Sma","MKT",IF(OR('LT records'!$F355="Val", 'LT records'!$F355="EUR"),"FCY",IF('LT records'!$F355="X-P","PP3",IF('LT records'!$F355="X-m","XAU","???")))))))</f>
        <v>FCY</v>
      </c>
      <c r="H355" s="325" t="n">
        <v>0</v>
      </c>
      <c r="I355" s="340"/>
      <c r="J355" s="340" t="n">
        <v>800</v>
      </c>
      <c r="K355" s="340"/>
      <c r="L355" s="341" t="s">
        <v>469</v>
      </c>
      <c r="M355" s="350" t="str">
        <f aca="false">YEAR('LT records'!$B355)&amp;"-"&amp;MONTH('LT records'!$B355)</f>
        <v>2018-5</v>
      </c>
      <c r="N355" s="343" t="n">
        <f aca="false">'LT records'!$H355+'LT records'!$I355</f>
        <v>0</v>
      </c>
      <c r="P355" s="326"/>
      <c r="S355" s="327"/>
    </row>
    <row r="356" customFormat="false" ht="12.8" hidden="false" customHeight="false" outlineLevel="0" collapsed="false">
      <c r="B356" s="351" t="n">
        <v>43221</v>
      </c>
      <c r="C356" s="348" t="n">
        <f aca="false">YEAR('LT records'!$B356)</f>
        <v>2018</v>
      </c>
      <c r="D356" s="346" t="str">
        <f aca="false">'LT records'!$C356&amp;"-"&amp;MONTH('LT records'!$B356)</f>
        <v>2018-5</v>
      </c>
      <c r="E356" s="324" t="s">
        <v>14</v>
      </c>
      <c r="F356" s="324" t="str">
        <f aca="false">LEFT('LT records'!$E356,3)</f>
        <v>CSH</v>
      </c>
      <c r="G356" s="324" t="str">
        <f aca="false">IF(OR('LT records'!$F356="MyF", 'LT records'!$F356="DEP"),"DEP",IF('LT records'!$F356="CSH","CSH",IF('LT records'!$F356="BON","BND",IF('LT records'!$F356="Sma","MKT",IF(OR('LT records'!$F356="Val", 'LT records'!$F356="EUR"),"FCY",IF('LT records'!$F356="X-P","PP3",IF('LT records'!$F356="X-m","XAU","???")))))))</f>
        <v>CSH</v>
      </c>
      <c r="H356" s="325" t="n">
        <v>-5000</v>
      </c>
      <c r="I356" s="340" t="n">
        <f aca="false">0.6+0.2</f>
        <v>0.8</v>
      </c>
      <c r="J356" s="340"/>
      <c r="K356" s="340"/>
      <c r="L356" s="341" t="s">
        <v>470</v>
      </c>
      <c r="M356" s="350" t="str">
        <f aca="false">YEAR('LT records'!$B356)&amp;"-"&amp;MONTH('LT records'!$B356)</f>
        <v>2018-5</v>
      </c>
      <c r="N356" s="343" t="n">
        <f aca="false">'LT records'!$H356+'LT records'!$I356</f>
        <v>-4999.2</v>
      </c>
      <c r="P356" s="326"/>
      <c r="S356" s="327"/>
    </row>
    <row r="357" customFormat="false" ht="12.8" hidden="false" customHeight="false" outlineLevel="0" collapsed="false">
      <c r="B357" s="351" t="n">
        <v>43221</v>
      </c>
      <c r="C357" s="348" t="n">
        <f aca="false">YEAR('LT records'!$B357)</f>
        <v>2018</v>
      </c>
      <c r="D357" s="346" t="str">
        <f aca="false">'LT records'!$C357&amp;"-"&amp;MONTH('LT records'!$B357)</f>
        <v>2018-5</v>
      </c>
      <c r="E357" s="324" t="s">
        <v>302</v>
      </c>
      <c r="F357" s="324" t="str">
        <f aca="false">LEFT('LT records'!$E357,3)</f>
        <v>DEP</v>
      </c>
      <c r="G357" s="324" t="str">
        <f aca="false">IF(OR('LT records'!$F357="MyF", 'LT records'!$F357="DEP"),"DEP",IF('LT records'!$F357="CSH","CSH",IF('LT records'!$F357="BON","BND",IF('LT records'!$F357="Sma","MKT",IF(OR('LT records'!$F357="Val", 'LT records'!$F357="EUR"),"FCY",IF('LT records'!$F357="X-P","PP3",IF('LT records'!$F357="X-m","XAU","???")))))))</f>
        <v>DEP</v>
      </c>
      <c r="H357" s="325" t="n">
        <v>5000</v>
      </c>
      <c r="I357" s="340"/>
      <c r="J357" s="340"/>
      <c r="K357" s="340"/>
      <c r="L357" s="341" t="s">
        <v>471</v>
      </c>
      <c r="M357" s="350" t="str">
        <f aca="false">YEAR('LT records'!$B357)&amp;"-"&amp;MONTH('LT records'!$B357)</f>
        <v>2018-5</v>
      </c>
      <c r="N357" s="343" t="n">
        <f aca="false">'LT records'!$H357+'LT records'!$I357</f>
        <v>5000</v>
      </c>
      <c r="P357" s="326"/>
      <c r="S357" s="327"/>
    </row>
    <row r="358" customFormat="false" ht="12.8" hidden="false" customHeight="false" outlineLevel="0" collapsed="false">
      <c r="B358" s="351" t="n">
        <v>43224</v>
      </c>
      <c r="C358" s="348" t="n">
        <f aca="false">YEAR('LT records'!$B358)</f>
        <v>2018</v>
      </c>
      <c r="D358" s="346" t="str">
        <f aca="false">'LT records'!$C358&amp;"-"&amp;MONTH('LT records'!$B358)</f>
        <v>2018-5</v>
      </c>
      <c r="E358" s="324" t="s">
        <v>444</v>
      </c>
      <c r="F358" s="324" t="str">
        <f aca="false">LEFT('LT records'!$E358,3)</f>
        <v>Val</v>
      </c>
      <c r="G358" s="324" t="str">
        <f aca="false">IF(OR('LT records'!$F358="MyF", 'LT records'!$F358="DEP"),"DEP",IF('LT records'!$F358="CSH","CSH",IF('LT records'!$F358="BON","BND",IF('LT records'!$F358="Sma","MKT",IF(OR('LT records'!$F358="Val", 'LT records'!$F358="EUR"),"FCY",IF('LT records'!$F358="X-P","PP3",IF('LT records'!$F358="X-m","XAU","???")))))))</f>
        <v>FCY</v>
      </c>
      <c r="H358" s="325" t="n">
        <f aca="false">466</f>
        <v>466</v>
      </c>
      <c r="I358" s="340"/>
      <c r="J358" s="340" t="n">
        <f aca="false">100</f>
        <v>100</v>
      </c>
      <c r="K358" s="340" t="n">
        <f aca="false">0.12</f>
        <v>0.12</v>
      </c>
      <c r="L358" s="341" t="s">
        <v>472</v>
      </c>
      <c r="M358" s="350" t="str">
        <f aca="false">YEAR('LT records'!$B358)&amp;"-"&amp;MONTH('LT records'!$B358)</f>
        <v>2018-5</v>
      </c>
      <c r="N358" s="343" t="n">
        <f aca="false">'LT records'!$H358+'LT records'!$I358</f>
        <v>466</v>
      </c>
      <c r="P358" s="326"/>
      <c r="S358" s="327"/>
    </row>
    <row r="359" customFormat="false" ht="12.8" hidden="false" customHeight="false" outlineLevel="0" collapsed="false">
      <c r="B359" s="351" t="n">
        <v>43230</v>
      </c>
      <c r="C359" s="348" t="n">
        <f aca="false">YEAR('LT records'!$B359)</f>
        <v>2018</v>
      </c>
      <c r="D359" s="346" t="str">
        <f aca="false">'LT records'!$C359&amp;"-"&amp;MONTH('LT records'!$B359)</f>
        <v>2018-5</v>
      </c>
      <c r="E359" s="324" t="s">
        <v>340</v>
      </c>
      <c r="F359" s="324" t="str">
        <f aca="false">LEFT('LT records'!$E359,3)</f>
        <v>MyF</v>
      </c>
      <c r="G359" s="324" t="str">
        <f aca="false">IF(OR('LT records'!$F359="MyF", 'LT records'!$F359="DEP"),"DEP",IF('LT records'!$F359="CSH","CSH",IF('LT records'!$F359="BON","BND",IF('LT records'!$F359="Sma","MKT",IF(OR('LT records'!$F359="Val", 'LT records'!$F359="EUR"),"FCY",IF('LT records'!$F359="X-P","PP3",IF('LT records'!$F359="X-m","XAU","???")))))))</f>
        <v>DEP</v>
      </c>
      <c r="H359" s="325" t="n">
        <v>-10353.71</v>
      </c>
      <c r="I359" s="340" t="n">
        <f aca="false">143.15-14.32</f>
        <v>128.83</v>
      </c>
      <c r="J359" s="340"/>
      <c r="K359" s="340"/>
      <c r="L359" s="341" t="s">
        <v>473</v>
      </c>
      <c r="M359" s="350" t="str">
        <f aca="false">YEAR('LT records'!$B359)&amp;"-"&amp;MONTH('LT records'!$B359)</f>
        <v>2018-5</v>
      </c>
      <c r="N359" s="343" t="n">
        <f aca="false">'LT records'!$H359+'LT records'!$I359</f>
        <v>-10224.88</v>
      </c>
      <c r="P359" s="326"/>
      <c r="S359" s="327"/>
    </row>
    <row r="360" customFormat="false" ht="12.8" hidden="false" customHeight="false" outlineLevel="0" collapsed="false">
      <c r="B360" s="351" t="n">
        <v>43230</v>
      </c>
      <c r="C360" s="348" t="n">
        <f aca="false">YEAR('LT records'!$B360)</f>
        <v>2018</v>
      </c>
      <c r="D360" s="346" t="str">
        <f aca="false">'LT records'!$C360&amp;"-"&amp;MONTH('LT records'!$B360)</f>
        <v>2018-5</v>
      </c>
      <c r="E360" s="324" t="s">
        <v>14</v>
      </c>
      <c r="F360" s="324" t="str">
        <f aca="false">LEFT('LT records'!$E360,3)</f>
        <v>CSH</v>
      </c>
      <c r="G360" s="324" t="str">
        <f aca="false">IF(OR('LT records'!$F360="MyF", 'LT records'!$F360="DEP"),"DEP",IF('LT records'!$F360="CSH","CSH",IF('LT records'!$F360="BON","BND",IF('LT records'!$F360="Sma","MKT",IF(OR('LT records'!$F360="Val", 'LT records'!$F360="EUR"),"FCY",IF('LT records'!$F360="X-P","PP3",IF('LT records'!$F360="X-m","XAU","???")))))))</f>
        <v>CSH</v>
      </c>
      <c r="H360" s="325" t="n">
        <v>10353.71</v>
      </c>
      <c r="I360" s="340"/>
      <c r="J360" s="340"/>
      <c r="K360" s="340"/>
      <c r="L360" s="341" t="s">
        <v>56</v>
      </c>
      <c r="M360" s="350" t="str">
        <f aca="false">YEAR('LT records'!$B360)&amp;"-"&amp;MONTH('LT records'!$B360)</f>
        <v>2018-5</v>
      </c>
      <c r="N360" s="343" t="n">
        <f aca="false">'LT records'!$H360+'LT records'!$I360</f>
        <v>10353.71</v>
      </c>
      <c r="P360" s="326"/>
      <c r="S360" s="327"/>
    </row>
    <row r="361" customFormat="false" ht="12.8" hidden="false" customHeight="false" outlineLevel="0" collapsed="false">
      <c r="B361" s="351" t="n">
        <v>43236</v>
      </c>
      <c r="C361" s="348" t="n">
        <f aca="false">YEAR('LT records'!$B361)</f>
        <v>2018</v>
      </c>
      <c r="D361" s="346" t="str">
        <f aca="false">'LT records'!$C361&amp;"-"&amp;MONTH('LT records'!$B361)</f>
        <v>2018-5</v>
      </c>
      <c r="E361" s="324" t="s">
        <v>318</v>
      </c>
      <c r="F361" s="324" t="str">
        <f aca="false">LEFT('LT records'!$E361,3)</f>
        <v>X-P</v>
      </c>
      <c r="G361" s="324" t="str">
        <f aca="false">IF(OR('LT records'!$F361="MyF", 'LT records'!$F361="DEP"),"DEP",IF('LT records'!$F361="CSH","CSH",IF('LT records'!$F361="BON","BND",IF('LT records'!$F361="Sma","MKT",IF(OR('LT records'!$F361="Val", 'LT records'!$F361="EUR"),"FCY",IF('LT records'!$F361="X-P","PP3",IF('LT records'!$F361="X-m","XAU","???")))))))</f>
        <v>PP3</v>
      </c>
      <c r="H361" s="325" t="n">
        <v>150</v>
      </c>
      <c r="I361" s="340"/>
      <c r="J361" s="340"/>
      <c r="K361" s="340"/>
      <c r="L361" s="341" t="s">
        <v>443</v>
      </c>
      <c r="M361" s="350" t="str">
        <f aca="false">YEAR('LT records'!$B361)&amp;"-"&amp;MONTH('LT records'!$B361)</f>
        <v>2018-5</v>
      </c>
      <c r="N361" s="343" t="n">
        <f aca="false">'LT records'!$H361+'LT records'!$I361</f>
        <v>150</v>
      </c>
      <c r="P361" s="326"/>
      <c r="S361" s="327"/>
    </row>
    <row r="362" customFormat="false" ht="12.8" hidden="false" customHeight="false" outlineLevel="0" collapsed="false">
      <c r="B362" s="351" t="n">
        <v>43238</v>
      </c>
      <c r="C362" s="348" t="n">
        <f aca="false">YEAR('LT records'!$B362)</f>
        <v>2018</v>
      </c>
      <c r="D362" s="346" t="str">
        <f aca="false">'LT records'!$C362&amp;"-"&amp;MONTH('LT records'!$B362)</f>
        <v>2018-5</v>
      </c>
      <c r="E362" s="324" t="s">
        <v>14</v>
      </c>
      <c r="F362" s="324" t="str">
        <f aca="false">LEFT('LT records'!$E362,3)</f>
        <v>CSH</v>
      </c>
      <c r="G362" s="324" t="str">
        <f aca="false">IF(OR('LT records'!$F362="MyF", 'LT records'!$F362="DEP"),"DEP",IF('LT records'!$F362="CSH","CSH",IF('LT records'!$F362="BON","BND",IF('LT records'!$F362="Sma","MKT",IF(OR('LT records'!$F362="Val", 'LT records'!$F362="EUR"),"FCY",IF('LT records'!$F362="X-P","PP3",IF('LT records'!$F362="X-m","XAU","???")))))))</f>
        <v>CSH</v>
      </c>
      <c r="H362" s="325" t="n">
        <v>-50</v>
      </c>
      <c r="I362" s="340"/>
      <c r="J362" s="340"/>
      <c r="K362" s="340"/>
      <c r="L362" s="341" t="s">
        <v>474</v>
      </c>
      <c r="M362" s="350" t="str">
        <f aca="false">YEAR('LT records'!$B362)&amp;"-"&amp;MONTH('LT records'!$B362)</f>
        <v>2018-5</v>
      </c>
      <c r="N362" s="343" t="n">
        <f aca="false">'LT records'!$H362+'LT records'!$I362</f>
        <v>-50</v>
      </c>
      <c r="P362" s="326"/>
      <c r="S362" s="327"/>
    </row>
    <row r="363" customFormat="false" ht="12.8" hidden="false" customHeight="false" outlineLevel="0" collapsed="false">
      <c r="B363" s="351" t="n">
        <v>43238</v>
      </c>
      <c r="C363" s="348" t="n">
        <f aca="false">YEAR('LT records'!$B363)</f>
        <v>2018</v>
      </c>
      <c r="D363" s="346" t="str">
        <f aca="false">'LT records'!$C363&amp;"-"&amp;MONTH('LT records'!$B363)</f>
        <v>2018-5</v>
      </c>
      <c r="E363" s="324" t="s">
        <v>444</v>
      </c>
      <c r="F363" s="324" t="str">
        <f aca="false">LEFT('LT records'!$E363,3)</f>
        <v>Val</v>
      </c>
      <c r="G363" s="324" t="str">
        <f aca="false">IF(OR('LT records'!$F363="MyF", 'LT records'!$F363="DEP"),"DEP",IF('LT records'!$F363="CSH","CSH",IF('LT records'!$F363="BON","BND",IF('LT records'!$F363="Sma","MKT",IF(OR('LT records'!$F363="Val", 'LT records'!$F363="EUR"),"FCY",IF('LT records'!$F363="X-P","PP3",IF('LT records'!$F363="X-m","XAU","???")))))))</f>
        <v>FCY</v>
      </c>
      <c r="H363" s="325" t="n">
        <v>50.02</v>
      </c>
      <c r="I363" s="340"/>
      <c r="J363" s="340" t="n">
        <v>10.74</v>
      </c>
      <c r="K363" s="340"/>
      <c r="L363" s="341" t="s">
        <v>475</v>
      </c>
      <c r="M363" s="350" t="str">
        <f aca="false">YEAR('LT records'!$B363)&amp;"-"&amp;MONTH('LT records'!$B363)</f>
        <v>2018-5</v>
      </c>
      <c r="N363" s="343" t="n">
        <f aca="false">'LT records'!$H363+'LT records'!$I363</f>
        <v>50.02</v>
      </c>
      <c r="P363" s="326"/>
      <c r="S363" s="327"/>
    </row>
    <row r="364" customFormat="false" ht="12.8" hidden="false" customHeight="false" outlineLevel="0" collapsed="false">
      <c r="B364" s="351" t="n">
        <v>43238</v>
      </c>
      <c r="C364" s="348" t="n">
        <f aca="false">YEAR('LT records'!$B364)</f>
        <v>2018</v>
      </c>
      <c r="D364" s="346" t="str">
        <f aca="false">'LT records'!$C364&amp;"-"&amp;MONTH('LT records'!$B364)</f>
        <v>2018-5</v>
      </c>
      <c r="E364" s="324" t="s">
        <v>322</v>
      </c>
      <c r="F364" s="324" t="str">
        <f aca="false">LEFT('LT records'!$E364,3)</f>
        <v>X-m</v>
      </c>
      <c r="G364" s="324" t="str">
        <f aca="false">IF(OR('LT records'!$F364="MyF", 'LT records'!$F364="DEP"),"DEP",IF('LT records'!$F364="CSH","CSH",IF('LT records'!$F364="BON","BND",IF('LT records'!$F364="Sma","MKT",IF(OR('LT records'!$F364="Val", 'LT records'!$F364="EUR"),"FCY",IF('LT records'!$F364="X-P","PP3",IF('LT records'!$F364="X-m","XAU","???")))))))</f>
        <v>XAU</v>
      </c>
      <c r="H364" s="325" t="n">
        <v>-1132</v>
      </c>
      <c r="I364" s="340"/>
      <c r="J364" s="340"/>
      <c r="K364" s="340"/>
      <c r="L364" s="353" t="s">
        <v>476</v>
      </c>
      <c r="M364" s="350" t="str">
        <f aca="false">YEAR('LT records'!$B364)&amp;"-"&amp;MONTH('LT records'!$B364)</f>
        <v>2018-5</v>
      </c>
      <c r="N364" s="343" t="n">
        <f aca="false">'LT records'!$H364+'LT records'!$I364</f>
        <v>-1132</v>
      </c>
      <c r="P364" s="326"/>
      <c r="S364" s="327"/>
    </row>
    <row r="365" customFormat="false" ht="12.8" hidden="false" customHeight="false" outlineLevel="0" collapsed="false">
      <c r="B365" s="351" t="n">
        <v>43239</v>
      </c>
      <c r="C365" s="348" t="n">
        <f aca="false">YEAR('LT records'!$B365)</f>
        <v>2018</v>
      </c>
      <c r="D365" s="346" t="str">
        <f aca="false">'LT records'!$C365&amp;"-"&amp;MONTH('LT records'!$B365)</f>
        <v>2018-5</v>
      </c>
      <c r="E365" s="324" t="s">
        <v>14</v>
      </c>
      <c r="F365" s="324" t="str">
        <f aca="false">LEFT('LT records'!$E365,3)</f>
        <v>CSH</v>
      </c>
      <c r="G365" s="324" t="str">
        <f aca="false">IF(OR('LT records'!$F365="MyF", 'LT records'!$F365="DEP"),"DEP",IF('LT records'!$F365="CSH","CSH",IF('LT records'!$F365="BON","BND",IF('LT records'!$F365="Sma","MKT",IF(OR('LT records'!$F365="Val", 'LT records'!$F365="EUR"),"FCY",IF('LT records'!$F365="X-P","PP3",IF('LT records'!$F365="X-m","XAU","???")))))))</f>
        <v>CSH</v>
      </c>
      <c r="H365" s="325" t="n">
        <v>0</v>
      </c>
      <c r="I365" s="340" t="n">
        <v>2.23</v>
      </c>
      <c r="J365" s="340"/>
      <c r="K365" s="340"/>
      <c r="L365" s="341" t="s">
        <v>40</v>
      </c>
      <c r="M365" s="350" t="str">
        <f aca="false">YEAR('LT records'!$B365)&amp;"-"&amp;MONTH('LT records'!$B365)</f>
        <v>2018-5</v>
      </c>
      <c r="N365" s="343" t="n">
        <f aca="false">'LT records'!$H365+'LT records'!$I365</f>
        <v>2.23</v>
      </c>
      <c r="P365" s="326"/>
      <c r="S365" s="327"/>
    </row>
    <row r="366" customFormat="false" ht="12.8" hidden="false" customHeight="false" outlineLevel="0" collapsed="false">
      <c r="B366" s="351" t="n">
        <v>43239</v>
      </c>
      <c r="C366" s="348" t="n">
        <f aca="false">YEAR('LT records'!$B366)</f>
        <v>2018</v>
      </c>
      <c r="D366" s="346" t="str">
        <f aca="false">'LT records'!$C366&amp;"-"&amp;MONTH('LT records'!$B366)</f>
        <v>2018-5</v>
      </c>
      <c r="E366" s="324" t="s">
        <v>444</v>
      </c>
      <c r="F366" s="324" t="str">
        <f aca="false">LEFT('LT records'!$E366,3)</f>
        <v>Val</v>
      </c>
      <c r="G366" s="324" t="str">
        <f aca="false">IF(OR('LT records'!$F366="MyF", 'LT records'!$F366="DEP"),"DEP",IF('LT records'!$F366="CSH","CSH",IF('LT records'!$F366="BON","BND",IF('LT records'!$F366="Sma","MKT",IF(OR('LT records'!$F366="Val", 'LT records'!$F366="EUR"),"FCY",IF('LT records'!$F366="X-P","PP3",IF('LT records'!$F366="X-m","XAU","???")))))))</f>
        <v>FCY</v>
      </c>
      <c r="H366" s="325" t="n">
        <v>0</v>
      </c>
      <c r="I366" s="340"/>
      <c r="J366" s="340"/>
      <c r="K366" s="340" t="n">
        <v>0.42</v>
      </c>
      <c r="L366" s="341" t="s">
        <v>40</v>
      </c>
      <c r="M366" s="350" t="str">
        <f aca="false">YEAR('LT records'!$B366)&amp;"-"&amp;MONTH('LT records'!$B366)</f>
        <v>2018-5</v>
      </c>
      <c r="N366" s="343" t="n">
        <f aca="false">'LT records'!$H366+'LT records'!$I366</f>
        <v>0</v>
      </c>
      <c r="P366" s="326"/>
      <c r="S366" s="327"/>
    </row>
    <row r="367" customFormat="false" ht="12.8" hidden="false" customHeight="false" outlineLevel="0" collapsed="false">
      <c r="B367" s="351" t="n">
        <v>43240</v>
      </c>
      <c r="C367" s="348" t="n">
        <f aca="false">YEAR('LT records'!$B367)</f>
        <v>2018</v>
      </c>
      <c r="D367" s="346" t="str">
        <f aca="false">'LT records'!$C367&amp;"-"&amp;MONTH('LT records'!$B367)</f>
        <v>2018-5</v>
      </c>
      <c r="E367" s="324" t="s">
        <v>14</v>
      </c>
      <c r="F367" s="324" t="str">
        <f aca="false">LEFT('LT records'!$E367,3)</f>
        <v>CSH</v>
      </c>
      <c r="G367" s="324" t="str">
        <f aca="false">IF(OR('LT records'!$F367="MyF", 'LT records'!$F367="DEP"),"DEP",IF('LT records'!$F367="CSH","CSH",IF('LT records'!$F367="BON","BND",IF('LT records'!$F367="Sma","MKT",IF(OR('LT records'!$F367="Val", 'LT records'!$F367="EUR"),"FCY",IF('LT records'!$F367="X-P","PP3",IF('LT records'!$F367="X-m","XAU","???")))))))</f>
        <v>CSH</v>
      </c>
      <c r="H367" s="325" t="n">
        <f aca="false">-165-145</f>
        <v>-310</v>
      </c>
      <c r="I367" s="340"/>
      <c r="J367" s="340"/>
      <c r="K367" s="340"/>
      <c r="L367" s="341" t="s">
        <v>477</v>
      </c>
      <c r="M367" s="350" t="str">
        <f aca="false">YEAR('LT records'!$B367)&amp;"-"&amp;MONTH('LT records'!$B367)</f>
        <v>2018-5</v>
      </c>
      <c r="N367" s="343" t="n">
        <f aca="false">'LT records'!$H367+'LT records'!$I367</f>
        <v>-310</v>
      </c>
      <c r="P367" s="326"/>
      <c r="S367" s="327"/>
    </row>
    <row r="368" customFormat="false" ht="12.8" hidden="false" customHeight="false" outlineLevel="0" collapsed="false">
      <c r="B368" s="351" t="n">
        <v>43241</v>
      </c>
      <c r="C368" s="348" t="n">
        <f aca="false">YEAR('LT records'!$B368)</f>
        <v>2018</v>
      </c>
      <c r="D368" s="346" t="str">
        <f aca="false">'LT records'!$C368&amp;"-"&amp;MONTH('LT records'!$B368)</f>
        <v>2018-5</v>
      </c>
      <c r="E368" s="324" t="s">
        <v>14</v>
      </c>
      <c r="F368" s="324" t="str">
        <f aca="false">LEFT('LT records'!$E368,3)</f>
        <v>CSH</v>
      </c>
      <c r="G368" s="324" t="str">
        <f aca="false">IF(OR('LT records'!$F368="MyF", 'LT records'!$F368="DEP"),"DEP",IF('LT records'!$F368="CSH","CSH",IF('LT records'!$F368="BON","BND",IF('LT records'!$F368="Sma","MKT",IF(OR('LT records'!$F368="Val", 'LT records'!$F368="EUR"),"FCY",IF('LT records'!$F368="X-P","PP3",IF('LT records'!$F368="X-m","XAU","???")))))))</f>
        <v>CSH</v>
      </c>
      <c r="H368" s="325" t="n">
        <f aca="false">-250-110</f>
        <v>-360</v>
      </c>
      <c r="I368" s="340"/>
      <c r="J368" s="340"/>
      <c r="K368" s="340"/>
      <c r="L368" s="341" t="s">
        <v>478</v>
      </c>
      <c r="M368" s="350" t="str">
        <f aca="false">YEAR('LT records'!$B368)&amp;"-"&amp;MONTH('LT records'!$B368)</f>
        <v>2018-5</v>
      </c>
      <c r="N368" s="343" t="n">
        <f aca="false">'LT records'!$H368+'LT records'!$I368</f>
        <v>-360</v>
      </c>
      <c r="P368" s="326"/>
      <c r="S368" s="327"/>
    </row>
    <row r="369" customFormat="false" ht="12.8" hidden="false" customHeight="false" outlineLevel="0" collapsed="false">
      <c r="B369" s="351" t="n">
        <v>43241</v>
      </c>
      <c r="C369" s="348" t="n">
        <f aca="false">YEAR('LT records'!$B369)</f>
        <v>2018</v>
      </c>
      <c r="D369" s="346" t="str">
        <f aca="false">'LT records'!$C369&amp;"-"&amp;MONTH('LT records'!$B369)</f>
        <v>2018-5</v>
      </c>
      <c r="E369" s="324" t="s">
        <v>444</v>
      </c>
      <c r="F369" s="324" t="str">
        <f aca="false">LEFT('LT records'!$E369,3)</f>
        <v>Val</v>
      </c>
      <c r="G369" s="324" t="str">
        <f aca="false">IF(OR('LT records'!$F369="MyF", 'LT records'!$F369="DEP"),"DEP",IF('LT records'!$F369="CSH","CSH",IF('LT records'!$F369="BON","BND",IF('LT records'!$F369="Sma","MKT",IF(OR('LT records'!$F369="Val", 'LT records'!$F369="EUR"),"FCY",IF('LT records'!$F369="X-P","PP3",IF('LT records'!$F369="X-m","XAU","???")))))))</f>
        <v>FCY</v>
      </c>
      <c r="H369" s="325" t="n">
        <v>250.02</v>
      </c>
      <c r="I369" s="340"/>
      <c r="J369" s="340" t="n">
        <v>53.78</v>
      </c>
      <c r="K369" s="340"/>
      <c r="L369" s="341" t="s">
        <v>479</v>
      </c>
      <c r="M369" s="350" t="str">
        <f aca="false">YEAR('LT records'!$B369)&amp;"-"&amp;MONTH('LT records'!$B369)</f>
        <v>2018-5</v>
      </c>
      <c r="N369" s="343" t="n">
        <f aca="false">'LT records'!$H369+'LT records'!$I369</f>
        <v>250.02</v>
      </c>
      <c r="P369" s="326"/>
      <c r="S369" s="327"/>
    </row>
    <row r="370" customFormat="false" ht="12.8" hidden="false" customHeight="false" outlineLevel="0" collapsed="false">
      <c r="B370" s="351" t="n">
        <v>43243</v>
      </c>
      <c r="C370" s="348" t="n">
        <f aca="false">YEAR('LT records'!$B370)</f>
        <v>2018</v>
      </c>
      <c r="D370" s="346" t="str">
        <f aca="false">'LT records'!$C370&amp;"-"&amp;MONTH('LT records'!$B370)</f>
        <v>2018-5</v>
      </c>
      <c r="E370" s="324" t="s">
        <v>344</v>
      </c>
      <c r="F370" s="324" t="str">
        <f aca="false">LEFT('LT records'!$E370,3)</f>
        <v>MyF</v>
      </c>
      <c r="G370" s="324" t="str">
        <f aca="false">IF(OR('LT records'!$F370="MyF", 'LT records'!$F370="DEP"),"DEP",IF('LT records'!$F370="CSH","CSH",IF('LT records'!$F370="BON","BND",IF('LT records'!$F370="Sma","MKT",IF(OR('LT records'!$F370="Val", 'LT records'!$F370="EUR"),"FCY",IF('LT records'!$F370="X-P","PP3",IF('LT records'!$F370="X-m","XAU","???")))))))</f>
        <v>DEP</v>
      </c>
      <c r="H370" s="325" t="n">
        <v>-10643.27</v>
      </c>
      <c r="I370" s="340" t="n">
        <f aca="false">147.15-14.72</f>
        <v>132.43</v>
      </c>
      <c r="J370" s="340"/>
      <c r="K370" s="340"/>
      <c r="L370" s="341" t="s">
        <v>473</v>
      </c>
      <c r="M370" s="350" t="str">
        <f aca="false">YEAR('LT records'!$B370)&amp;"-"&amp;MONTH('LT records'!$B370)</f>
        <v>2018-5</v>
      </c>
      <c r="N370" s="343" t="n">
        <f aca="false">'LT records'!$H370+'LT records'!$I370</f>
        <v>-10510.84</v>
      </c>
      <c r="P370" s="326"/>
      <c r="S370" s="327"/>
    </row>
    <row r="371" customFormat="false" ht="12.8" hidden="false" customHeight="false" outlineLevel="0" collapsed="false">
      <c r="B371" s="351" t="n">
        <v>43243</v>
      </c>
      <c r="C371" s="348" t="n">
        <f aca="false">YEAR('LT records'!$B371)</f>
        <v>2018</v>
      </c>
      <c r="D371" s="346" t="str">
        <f aca="false">'LT records'!$C371&amp;"-"&amp;MONTH('LT records'!$B371)</f>
        <v>2018-5</v>
      </c>
      <c r="E371" s="324" t="s">
        <v>14</v>
      </c>
      <c r="F371" s="324" t="str">
        <f aca="false">LEFT('LT records'!$E371,3)</f>
        <v>CSH</v>
      </c>
      <c r="G371" s="324" t="str">
        <f aca="false">IF(OR('LT records'!$F371="MyF", 'LT records'!$F371="DEP"),"DEP",IF('LT records'!$F371="CSH","CSH",IF('LT records'!$F371="BON","BND",IF('LT records'!$F371="Sma","MKT",IF(OR('LT records'!$F371="Val", 'LT records'!$F371="EUR"),"FCY",IF('LT records'!$F371="X-P","PP3",IF('LT records'!$F371="X-m","XAU","???")))))))</f>
        <v>CSH</v>
      </c>
      <c r="H371" s="325" t="n">
        <v>10643.27</v>
      </c>
      <c r="I371" s="340"/>
      <c r="J371" s="340"/>
      <c r="K371" s="340"/>
      <c r="L371" s="341" t="s">
        <v>56</v>
      </c>
      <c r="M371" s="350" t="str">
        <f aca="false">YEAR('LT records'!$B371)&amp;"-"&amp;MONTH('LT records'!$B371)</f>
        <v>2018-5</v>
      </c>
      <c r="N371" s="343" t="n">
        <f aca="false">'LT records'!$H371+'LT records'!$I371</f>
        <v>10643.27</v>
      </c>
      <c r="P371" s="326"/>
      <c r="S371" s="327"/>
    </row>
    <row r="372" customFormat="false" ht="12.8" hidden="false" customHeight="false" outlineLevel="0" collapsed="false">
      <c r="B372" s="351" t="n">
        <v>43243</v>
      </c>
      <c r="C372" s="348" t="n">
        <f aca="false">YEAR('LT records'!$B372)</f>
        <v>2018</v>
      </c>
      <c r="D372" s="346" t="str">
        <f aca="false">'LT records'!$C372&amp;"-"&amp;MONTH('LT records'!$B372)</f>
        <v>2018-5</v>
      </c>
      <c r="E372" s="324" t="s">
        <v>14</v>
      </c>
      <c r="F372" s="324" t="str">
        <f aca="false">LEFT('LT records'!$E372,3)</f>
        <v>CSH</v>
      </c>
      <c r="G372" s="324" t="str">
        <f aca="false">IF(OR('LT records'!$F372="MyF", 'LT records'!$F372="DEP"),"DEP",IF('LT records'!$F372="CSH","CSH",IF('LT records'!$F372="BON","BND",IF('LT records'!$F372="Sma","MKT",IF(OR('LT records'!$F372="Val", 'LT records'!$F372="EUR"),"FCY",IF('LT records'!$F372="X-P","PP3",IF('LT records'!$F372="X-m","XAU","???")))))))</f>
        <v>CSH</v>
      </c>
      <c r="H372" s="325" t="n">
        <f aca="false">-100-25</f>
        <v>-125</v>
      </c>
      <c r="I372" s="340"/>
      <c r="J372" s="340"/>
      <c r="K372" s="340"/>
      <c r="L372" s="341" t="s">
        <v>480</v>
      </c>
      <c r="M372" s="350" t="str">
        <f aca="false">YEAR('LT records'!$B372)&amp;"-"&amp;MONTH('LT records'!$B372)</f>
        <v>2018-5</v>
      </c>
      <c r="N372" s="343" t="n">
        <f aca="false">'LT records'!$H372+'LT records'!$I372</f>
        <v>-125</v>
      </c>
      <c r="P372" s="326"/>
      <c r="S372" s="327"/>
    </row>
    <row r="373" customFormat="false" ht="12.8" hidden="false" customHeight="false" outlineLevel="0" collapsed="false">
      <c r="B373" s="351" t="n">
        <v>43243</v>
      </c>
      <c r="C373" s="348" t="n">
        <f aca="false">YEAR('LT records'!$B373)</f>
        <v>2018</v>
      </c>
      <c r="D373" s="346" t="str">
        <f aca="false">'LT records'!$C373&amp;"-"&amp;MONTH('LT records'!$B373)</f>
        <v>2018-5</v>
      </c>
      <c r="E373" s="324" t="s">
        <v>14</v>
      </c>
      <c r="F373" s="324" t="str">
        <f aca="false">LEFT('LT records'!$E373,3)</f>
        <v>CSH</v>
      </c>
      <c r="G373" s="324" t="str">
        <f aca="false">IF(OR('LT records'!$F373="MyF", 'LT records'!$F373="DEP"),"DEP",IF('LT records'!$F373="CSH","CSH",IF('LT records'!$F373="BON","BND",IF('LT records'!$F373="Sma","MKT",IF(OR('LT records'!$F373="Val", 'LT records'!$F373="EUR"),"FCY",IF('LT records'!$F373="X-P","PP3",IF('LT records'!$F373="X-m","XAU","???")))))))</f>
        <v>CSH</v>
      </c>
      <c r="H373" s="325" t="n">
        <v>2611</v>
      </c>
      <c r="I373" s="340"/>
      <c r="J373" s="340"/>
      <c r="K373" s="340"/>
      <c r="L373" s="341" t="s">
        <v>481</v>
      </c>
      <c r="M373" s="350" t="str">
        <f aca="false">YEAR('LT records'!$B373)&amp;"-"&amp;MONTH('LT records'!$B373)</f>
        <v>2018-5</v>
      </c>
      <c r="N373" s="343" t="n">
        <f aca="false">'LT records'!$H373+'LT records'!$I373</f>
        <v>2611</v>
      </c>
      <c r="P373" s="326"/>
      <c r="S373" s="327"/>
    </row>
    <row r="374" customFormat="false" ht="12.8" hidden="false" customHeight="false" outlineLevel="0" collapsed="false">
      <c r="B374" s="351" t="n">
        <v>43245</v>
      </c>
      <c r="C374" s="348" t="n">
        <f aca="false">YEAR('LT records'!$B374)</f>
        <v>2018</v>
      </c>
      <c r="D374" s="346" t="str">
        <f aca="false">'LT records'!$C374&amp;"-"&amp;MONTH('LT records'!$B374)</f>
        <v>2018-5</v>
      </c>
      <c r="E374" s="324" t="s">
        <v>318</v>
      </c>
      <c r="F374" s="324" t="str">
        <f aca="false">LEFT('LT records'!$E374,3)</f>
        <v>X-P</v>
      </c>
      <c r="G374" s="324" t="str">
        <f aca="false">IF(OR('LT records'!$F374="MyF", 'LT records'!$F374="DEP"),"DEP",IF('LT records'!$F374="CSH","CSH",IF('LT records'!$F374="BON","BND",IF('LT records'!$F374="Sma","MKT",IF(OR('LT records'!$F374="Val", 'LT records'!$F374="EUR"),"FCY",IF('LT records'!$F374="X-P","PP3",IF('LT records'!$F374="X-m","XAU","???")))))))</f>
        <v>PP3</v>
      </c>
      <c r="H374" s="325" t="n">
        <v>300</v>
      </c>
      <c r="I374" s="340"/>
      <c r="J374" s="340"/>
      <c r="K374" s="340"/>
      <c r="L374" s="341" t="s">
        <v>459</v>
      </c>
      <c r="M374" s="350" t="str">
        <f aca="false">YEAR('LT records'!$B374)&amp;"-"&amp;MONTH('LT records'!$B374)</f>
        <v>2018-5</v>
      </c>
      <c r="N374" s="343" t="n">
        <f aca="false">'LT records'!$H374+'LT records'!$I374</f>
        <v>300</v>
      </c>
      <c r="P374" s="326"/>
      <c r="S374" s="327"/>
    </row>
    <row r="375" customFormat="false" ht="12.8" hidden="false" customHeight="false" outlineLevel="0" collapsed="false">
      <c r="B375" s="351" t="n">
        <v>43245</v>
      </c>
      <c r="C375" s="348" t="n">
        <f aca="false">YEAR('LT records'!$B375)</f>
        <v>2018</v>
      </c>
      <c r="D375" s="346" t="str">
        <f aca="false">'LT records'!$C375&amp;"-"&amp;MONTH('LT records'!$B375)</f>
        <v>2018-5</v>
      </c>
      <c r="E375" s="324" t="s">
        <v>423</v>
      </c>
      <c r="F375" s="324" t="str">
        <f aca="false">LEFT('LT records'!$E375,3)</f>
        <v>Sma</v>
      </c>
      <c r="G375" s="324" t="str">
        <f aca="false">IF(OR('LT records'!$F375="MyF", 'LT records'!$F375="DEP"),"DEP",IF('LT records'!$F375="CSH","CSH",IF('LT records'!$F375="BON","BND",IF('LT records'!$F375="Sma","MKT",IF(OR('LT records'!$F375="Val", 'LT records'!$F375="EUR"),"FCY",IF('LT records'!$F375="X-P","PP3",IF('LT records'!$F375="X-m","XAU","???")))))))</f>
        <v>MKT</v>
      </c>
      <c r="H375" s="325" t="n">
        <v>1100</v>
      </c>
      <c r="I375" s="340"/>
      <c r="J375" s="340"/>
      <c r="K375" s="340"/>
      <c r="L375" s="341" t="s">
        <v>460</v>
      </c>
      <c r="M375" s="350" t="str">
        <f aca="false">YEAR('LT records'!$B375)&amp;"-"&amp;MONTH('LT records'!$B375)</f>
        <v>2018-5</v>
      </c>
      <c r="N375" s="343" t="n">
        <f aca="false">'LT records'!$H375+'LT records'!$I375</f>
        <v>1100</v>
      </c>
      <c r="P375" s="326"/>
      <c r="S375" s="327"/>
    </row>
    <row r="376" customFormat="false" ht="12.8" hidden="false" customHeight="false" outlineLevel="0" collapsed="false">
      <c r="B376" s="351" t="n">
        <v>43246</v>
      </c>
      <c r="C376" s="348" t="n">
        <f aca="false">YEAR('LT records'!$B376)</f>
        <v>2018</v>
      </c>
      <c r="D376" s="346" t="str">
        <f aca="false">'LT records'!$C376&amp;"-"&amp;MONTH('LT records'!$B376)</f>
        <v>2018-5</v>
      </c>
      <c r="E376" s="324" t="s">
        <v>14</v>
      </c>
      <c r="F376" s="324" t="str">
        <f aca="false">LEFT('LT records'!$E376,3)</f>
        <v>CSH</v>
      </c>
      <c r="G376" s="324" t="str">
        <f aca="false">IF(OR('LT records'!$F376="MyF", 'LT records'!$F376="DEP"),"DEP",IF('LT records'!$F376="CSH","CSH",IF('LT records'!$F376="BON","BND",IF('LT records'!$F376="Sma","MKT",IF(OR('LT records'!$F376="Val", 'LT records'!$F376="EUR"),"FCY",IF('LT records'!$F376="X-P","PP3",IF('LT records'!$F376="X-m","XAU","???")))))))</f>
        <v>CSH</v>
      </c>
      <c r="H376" s="325" t="n">
        <v>1233</v>
      </c>
      <c r="I376" s="340"/>
      <c r="J376" s="340"/>
      <c r="K376" s="340"/>
      <c r="L376" s="341" t="s">
        <v>482</v>
      </c>
      <c r="M376" s="350" t="str">
        <f aca="false">YEAR('LT records'!$B376)&amp;"-"&amp;MONTH('LT records'!$B376)</f>
        <v>2018-5</v>
      </c>
      <c r="N376" s="343" t="n">
        <f aca="false">'LT records'!$H376+'LT records'!$I376</f>
        <v>1233</v>
      </c>
      <c r="P376" s="326"/>
      <c r="S376" s="327"/>
    </row>
    <row r="377" customFormat="false" ht="12.8" hidden="false" customHeight="false" outlineLevel="0" collapsed="false">
      <c r="B377" s="351" t="n">
        <v>43248</v>
      </c>
      <c r="C377" s="348" t="n">
        <f aca="false">YEAR('LT records'!$B377)</f>
        <v>2018</v>
      </c>
      <c r="D377" s="346" t="str">
        <f aca="false">'LT records'!$C377&amp;"-"&amp;MONTH('LT records'!$B377)</f>
        <v>2018-5</v>
      </c>
      <c r="E377" s="324" t="s">
        <v>14</v>
      </c>
      <c r="F377" s="324" t="str">
        <f aca="false">LEFT('LT records'!$E377,3)</f>
        <v>CSH</v>
      </c>
      <c r="G377" s="324" t="str">
        <f aca="false">IF(OR('LT records'!$F377="MyF", 'LT records'!$F377="DEP"),"DEP",IF('LT records'!$F377="CSH","CSH",IF('LT records'!$F377="BON","BND",IF('LT records'!$F377="Sma","MKT",IF(OR('LT records'!$F377="Val", 'LT records'!$F377="EUR"),"FCY",IF('LT records'!$F377="X-P","PP3",IF('LT records'!$F377="X-m","XAU","???")))))))</f>
        <v>CSH</v>
      </c>
      <c r="H377" s="325" t="n">
        <v>50</v>
      </c>
      <c r="I377" s="340" t="n">
        <v>2.97</v>
      </c>
      <c r="J377" s="340"/>
      <c r="K377" s="340"/>
      <c r="L377" s="341" t="s">
        <v>139</v>
      </c>
      <c r="M377" s="350" t="str">
        <f aca="false">YEAR('LT records'!$B377)&amp;"-"&amp;MONTH('LT records'!$B377)</f>
        <v>2018-5</v>
      </c>
      <c r="N377" s="343" t="n">
        <f aca="false">'LT records'!$H377+'LT records'!$I377</f>
        <v>52.97</v>
      </c>
      <c r="P377" s="326"/>
      <c r="S377" s="327"/>
    </row>
    <row r="378" customFormat="false" ht="12.8" hidden="false" customHeight="false" outlineLevel="0" collapsed="false">
      <c r="B378" s="351" t="n">
        <v>43248</v>
      </c>
      <c r="C378" s="348" t="n">
        <f aca="false">YEAR('LT records'!$B378)</f>
        <v>2018</v>
      </c>
      <c r="D378" s="346" t="str">
        <f aca="false">'LT records'!$C378&amp;"-"&amp;MONTH('LT records'!$B378)</f>
        <v>2018-5</v>
      </c>
      <c r="E378" s="324" t="s">
        <v>444</v>
      </c>
      <c r="F378" s="324" t="str">
        <f aca="false">LEFT('LT records'!$E378,3)</f>
        <v>Val</v>
      </c>
      <c r="G378" s="324" t="str">
        <f aca="false">IF(OR('LT records'!$F378="MyF", 'LT records'!$F378="DEP"),"DEP",IF('LT records'!$F378="CSH","CSH",IF('LT records'!$F378="BON","BND",IF('LT records'!$F378="Sma","MKT",IF(OR('LT records'!$F378="Val", 'LT records'!$F378="EUR"),"FCY",IF('LT records'!$F378="X-P","PP3",IF('LT records'!$F378="X-m","XAU","???")))))))</f>
        <v>FCY</v>
      </c>
      <c r="H378" s="325" t="n">
        <v>0</v>
      </c>
      <c r="I378" s="340"/>
      <c r="J378" s="340"/>
      <c r="K378" s="340" t="n">
        <v>0.27</v>
      </c>
      <c r="L378" s="341"/>
      <c r="M378" s="350" t="str">
        <f aca="false">YEAR('LT records'!$B378)&amp;"-"&amp;MONTH('LT records'!$B378)</f>
        <v>2018-5</v>
      </c>
      <c r="N378" s="343" t="n">
        <f aca="false">'LT records'!$H378+'LT records'!$I378</f>
        <v>0</v>
      </c>
      <c r="P378" s="326"/>
      <c r="S378" s="327"/>
    </row>
    <row r="379" customFormat="false" ht="12.8" hidden="false" customHeight="false" outlineLevel="0" collapsed="false">
      <c r="B379" s="351" t="n">
        <v>43249</v>
      </c>
      <c r="C379" s="348" t="n">
        <f aca="false">YEAR('LT records'!$B379)</f>
        <v>2018</v>
      </c>
      <c r="D379" s="346" t="str">
        <f aca="false">'LT records'!$C379&amp;"-"&amp;MONTH('LT records'!$B379)</f>
        <v>2018-5</v>
      </c>
      <c r="E379" s="324" t="s">
        <v>337</v>
      </c>
      <c r="F379" s="324" t="str">
        <f aca="false">LEFT('LT records'!$E379,3)</f>
        <v>MyF</v>
      </c>
      <c r="G379" s="324" t="str">
        <f aca="false">IF(OR('LT records'!$F379="MyF", 'LT records'!$F379="DEP"),"DEP",IF('LT records'!$F379="CSH","CSH",IF('LT records'!$F379="BON","BND",IF('LT records'!$F379="Sma","MKT",IF(OR('LT records'!$F379="Val", 'LT records'!$F379="EUR"),"FCY",IF('LT records'!$F379="X-P","PP3",IF('LT records'!$F379="X-m","XAU","???")))))))</f>
        <v>DEP</v>
      </c>
      <c r="H379" s="325" t="n">
        <v>-10638.22</v>
      </c>
      <c r="I379" s="340" t="n">
        <f aca="false">147.08-14.71</f>
        <v>132.37</v>
      </c>
      <c r="J379" s="340"/>
      <c r="K379" s="340"/>
      <c r="L379" s="341" t="s">
        <v>473</v>
      </c>
      <c r="M379" s="350" t="str">
        <f aca="false">YEAR('LT records'!$B379)&amp;"-"&amp;MONTH('LT records'!$B379)</f>
        <v>2018-5</v>
      </c>
      <c r="N379" s="343" t="n">
        <f aca="false">'LT records'!$H379+'LT records'!$I379</f>
        <v>-10505.85</v>
      </c>
      <c r="P379" s="326"/>
      <c r="S379" s="327"/>
    </row>
    <row r="380" customFormat="false" ht="12.8" hidden="false" customHeight="false" outlineLevel="0" collapsed="false">
      <c r="B380" s="351" t="n">
        <v>43249</v>
      </c>
      <c r="C380" s="348" t="n">
        <f aca="false">YEAR('LT records'!$B380)</f>
        <v>2018</v>
      </c>
      <c r="D380" s="346" t="str">
        <f aca="false">'LT records'!$C380&amp;"-"&amp;MONTH('LT records'!$B380)</f>
        <v>2018-5</v>
      </c>
      <c r="E380" s="324" t="s">
        <v>14</v>
      </c>
      <c r="F380" s="324" t="str">
        <f aca="false">LEFT('LT records'!$E380,3)</f>
        <v>CSH</v>
      </c>
      <c r="G380" s="324" t="str">
        <f aca="false">IF(OR('LT records'!$F380="MyF", 'LT records'!$F380="DEP"),"DEP",IF('LT records'!$F380="CSH","CSH",IF('LT records'!$F380="BON","BND",IF('LT records'!$F380="Sma","MKT",IF(OR('LT records'!$F380="Val", 'LT records'!$F380="EUR"),"FCY",IF('LT records'!$F380="X-P","PP3",IF('LT records'!$F380="X-m","XAU","???")))))))</f>
        <v>CSH</v>
      </c>
      <c r="H380" s="325" t="n">
        <v>10213.45</v>
      </c>
      <c r="I380" s="340"/>
      <c r="J380" s="340"/>
      <c r="K380" s="340"/>
      <c r="L380" s="341" t="s">
        <v>483</v>
      </c>
      <c r="M380" s="350" t="str">
        <f aca="false">YEAR('LT records'!$B380)&amp;"-"&amp;MONTH('LT records'!$B380)</f>
        <v>2018-5</v>
      </c>
      <c r="N380" s="343" t="n">
        <f aca="false">'LT records'!$H380+'LT records'!$I380</f>
        <v>10213.45</v>
      </c>
      <c r="P380" s="326"/>
      <c r="S380" s="327"/>
    </row>
    <row r="381" customFormat="false" ht="12.8" hidden="false" customHeight="false" outlineLevel="0" collapsed="false">
      <c r="B381" s="351" t="n">
        <v>43252</v>
      </c>
      <c r="C381" s="348" t="n">
        <f aca="false">YEAR('LT records'!$B381)</f>
        <v>2018</v>
      </c>
      <c r="D381" s="346" t="str">
        <f aca="false">'LT records'!$C381&amp;"-"&amp;MONTH('LT records'!$B381)</f>
        <v>2018-6</v>
      </c>
      <c r="E381" s="324" t="s">
        <v>14</v>
      </c>
      <c r="F381" s="324" t="str">
        <f aca="false">LEFT('LT records'!$E381,3)</f>
        <v>CSH</v>
      </c>
      <c r="G381" s="324" t="str">
        <f aca="false">IF(OR('LT records'!$F381="MyF", 'LT records'!$F381="DEP"),"DEP",IF('LT records'!$F381="CSH","CSH",IF('LT records'!$F381="BON","BND",IF('LT records'!$F381="Sma","MKT",IF(OR('LT records'!$F381="Val", 'LT records'!$F381="EUR"),"FCY",IF('LT records'!$F381="X-P","PP3",IF('LT records'!$F381="X-m","XAU","???")))))))</f>
        <v>CSH</v>
      </c>
      <c r="H381" s="325" t="n">
        <v>-30000</v>
      </c>
      <c r="I381" s="340"/>
      <c r="J381" s="340"/>
      <c r="K381" s="340"/>
      <c r="L381" s="341" t="s">
        <v>484</v>
      </c>
      <c r="M381" s="350" t="str">
        <f aca="false">YEAR('LT records'!$B381)&amp;"-"&amp;MONTH('LT records'!$B381)</f>
        <v>2018-6</v>
      </c>
      <c r="N381" s="343" t="n">
        <f aca="false">'LT records'!$H381+'LT records'!$I381</f>
        <v>-30000</v>
      </c>
      <c r="P381" s="326"/>
      <c r="S381" s="327"/>
    </row>
    <row r="382" customFormat="false" ht="12.8" hidden="false" customHeight="false" outlineLevel="0" collapsed="false">
      <c r="B382" s="351" t="n">
        <v>43252</v>
      </c>
      <c r="C382" s="348" t="n">
        <f aca="false">YEAR('LT records'!$B382)</f>
        <v>2018</v>
      </c>
      <c r="D382" s="346" t="str">
        <f aca="false">'LT records'!$C382&amp;"-"&amp;MONTH('LT records'!$B382)</f>
        <v>2018-6</v>
      </c>
      <c r="E382" s="324" t="s">
        <v>300</v>
      </c>
      <c r="F382" s="324" t="str">
        <f aca="false">LEFT('LT records'!$E382,3)</f>
        <v>DEP</v>
      </c>
      <c r="G382" s="324" t="str">
        <f aca="false">IF(OR('LT records'!$F382="MyF", 'LT records'!$F382="DEP"),"DEP",IF('LT records'!$F382="CSH","CSH",IF('LT records'!$F382="BON","BND",IF('LT records'!$F382="Sma","MKT",IF(OR('LT records'!$F382="Val", 'LT records'!$F382="EUR"),"FCY",IF('LT records'!$F382="X-P","PP3",IF('LT records'!$F382="X-m","XAU","???")))))))</f>
        <v>DEP</v>
      </c>
      <c r="H382" s="325" t="n">
        <v>10000</v>
      </c>
      <c r="I382" s="340"/>
      <c r="J382" s="340"/>
      <c r="K382" s="340"/>
      <c r="L382" s="341" t="s">
        <v>485</v>
      </c>
      <c r="M382" s="350" t="str">
        <f aca="false">YEAR('LT records'!$B382)&amp;"-"&amp;MONTH('LT records'!$B382)</f>
        <v>2018-6</v>
      </c>
      <c r="N382" s="343" t="n">
        <f aca="false">'LT records'!$H382+'LT records'!$I382</f>
        <v>10000</v>
      </c>
      <c r="P382" s="326"/>
      <c r="S382" s="327"/>
    </row>
    <row r="383" customFormat="false" ht="12.8" hidden="false" customHeight="false" outlineLevel="0" collapsed="false">
      <c r="B383" s="351" t="n">
        <v>43252</v>
      </c>
      <c r="C383" s="348" t="n">
        <f aca="false">YEAR('LT records'!$B383)</f>
        <v>2018</v>
      </c>
      <c r="D383" s="346" t="str">
        <f aca="false">'LT records'!$C383&amp;"-"&amp;MONTH('LT records'!$B383)</f>
        <v>2018-6</v>
      </c>
      <c r="E383" s="324" t="s">
        <v>304</v>
      </c>
      <c r="F383" s="324" t="str">
        <f aca="false">LEFT('LT records'!$E383,3)</f>
        <v>DEP</v>
      </c>
      <c r="G383" s="324" t="str">
        <f aca="false">IF(OR('LT records'!$F383="MyF", 'LT records'!$F383="DEP"),"DEP",IF('LT records'!$F383="CSH","CSH",IF('LT records'!$F383="BON","BND",IF('LT records'!$F383="Sma","MKT",IF(OR('LT records'!$F383="Val", 'LT records'!$F383="EUR"),"FCY",IF('LT records'!$F383="X-P","PP3",IF('LT records'!$F383="X-m","XAU","???")))))))</f>
        <v>DEP</v>
      </c>
      <c r="H383" s="325" t="n">
        <v>10000</v>
      </c>
      <c r="I383" s="340"/>
      <c r="J383" s="340"/>
      <c r="K383" s="340"/>
      <c r="L383" s="341" t="s">
        <v>486</v>
      </c>
      <c r="M383" s="350" t="str">
        <f aca="false">YEAR('LT records'!$B383)&amp;"-"&amp;MONTH('LT records'!$B383)</f>
        <v>2018-6</v>
      </c>
      <c r="N383" s="343" t="n">
        <f aca="false">'LT records'!$H383+'LT records'!$I383</f>
        <v>10000</v>
      </c>
      <c r="P383" s="326"/>
      <c r="S383" s="327"/>
    </row>
    <row r="384" customFormat="false" ht="12.8" hidden="false" customHeight="false" outlineLevel="0" collapsed="false">
      <c r="B384" s="351" t="n">
        <v>43252</v>
      </c>
      <c r="C384" s="348" t="n">
        <f aca="false">YEAR('LT records'!$B384)</f>
        <v>2018</v>
      </c>
      <c r="D384" s="346" t="str">
        <f aca="false">'LT records'!$C384&amp;"-"&amp;MONTH('LT records'!$B384)</f>
        <v>2018-6</v>
      </c>
      <c r="E384" s="324" t="s">
        <v>308</v>
      </c>
      <c r="F384" s="324" t="str">
        <f aca="false">LEFT('LT records'!$E384,3)</f>
        <v>DEP</v>
      </c>
      <c r="G384" s="324" t="str">
        <f aca="false">IF(OR('LT records'!$F384="MyF", 'LT records'!$F384="DEP"),"DEP",IF('LT records'!$F384="CSH","CSH",IF('LT records'!$F384="BON","BND",IF('LT records'!$F384="Sma","MKT",IF(OR('LT records'!$F384="Val", 'LT records'!$F384="EUR"),"FCY",IF('LT records'!$F384="X-P","PP3",IF('LT records'!$F384="X-m","XAU","???")))))))</f>
        <v>DEP</v>
      </c>
      <c r="H384" s="325" t="n">
        <v>10000</v>
      </c>
      <c r="I384" s="340"/>
      <c r="J384" s="340"/>
      <c r="K384" s="340"/>
      <c r="L384" s="341" t="s">
        <v>487</v>
      </c>
      <c r="M384" s="350" t="str">
        <f aca="false">YEAR('LT records'!$B384)&amp;"-"&amp;MONTH('LT records'!$B384)</f>
        <v>2018-6</v>
      </c>
      <c r="N384" s="343" t="n">
        <f aca="false">'LT records'!$H384+'LT records'!$I384</f>
        <v>10000</v>
      </c>
      <c r="P384" s="326"/>
      <c r="S384" s="327"/>
    </row>
    <row r="385" customFormat="false" ht="12.8" hidden="false" customHeight="false" outlineLevel="0" collapsed="false">
      <c r="B385" s="351" t="n">
        <v>43252</v>
      </c>
      <c r="C385" s="348" t="n">
        <f aca="false">YEAR('LT records'!$B385)</f>
        <v>2018</v>
      </c>
      <c r="D385" s="346" t="str">
        <f aca="false">'LT records'!$C385&amp;"-"&amp;MONTH('LT records'!$B385)</f>
        <v>2018-6</v>
      </c>
      <c r="E385" s="324" t="s">
        <v>444</v>
      </c>
      <c r="F385" s="324" t="str">
        <f aca="false">LEFT('LT records'!$E385,3)</f>
        <v>Val</v>
      </c>
      <c r="G385" s="324" t="str">
        <f aca="false">IF(OR('LT records'!$F385="MyF", 'LT records'!$F385="DEP"),"DEP",IF('LT records'!$F385="CSH","CSH",IF('LT records'!$F385="BON","BND",IF('LT records'!$F385="Sma","MKT",IF(OR('LT records'!$F385="Val", 'LT records'!$F385="EUR"),"FCY",IF('LT records'!$F385="X-P","PP3",IF('LT records'!$F385="X-m","XAU","???")))))))</f>
        <v>FCY</v>
      </c>
      <c r="H385" s="325" t="n">
        <v>0</v>
      </c>
      <c r="I385" s="340"/>
      <c r="J385" s="340" t="n">
        <v>-800</v>
      </c>
      <c r="K385" s="340"/>
      <c r="L385" s="341" t="s">
        <v>488</v>
      </c>
      <c r="M385" s="350" t="str">
        <f aca="false">YEAR('LT records'!$B385)&amp;"-"&amp;MONTH('LT records'!$B385)</f>
        <v>2018-6</v>
      </c>
      <c r="N385" s="343" t="n">
        <f aca="false">'LT records'!$H385+'LT records'!$I385</f>
        <v>0</v>
      </c>
      <c r="P385" s="326"/>
      <c r="S385" s="327"/>
    </row>
    <row r="386" customFormat="false" ht="12.8" hidden="false" customHeight="false" outlineLevel="0" collapsed="false">
      <c r="B386" s="351" t="n">
        <v>43252</v>
      </c>
      <c r="C386" s="348" t="n">
        <f aca="false">YEAR('LT records'!$B386)</f>
        <v>2018</v>
      </c>
      <c r="D386" s="346" t="str">
        <f aca="false">'LT records'!$C386&amp;"-"&amp;MONTH('LT records'!$B386)</f>
        <v>2018-6</v>
      </c>
      <c r="E386" s="324" t="s">
        <v>489</v>
      </c>
      <c r="F386" s="324" t="str">
        <f aca="false">LEFT('LT records'!$E386,3)</f>
        <v>EUR</v>
      </c>
      <c r="G386" s="324" t="str">
        <f aca="false">IF(OR('LT records'!$F386="MyF", 'LT records'!$F386="DEP"),"DEP",IF('LT records'!$F386="CSH","CSH",IF('LT records'!$F386="BON","BND",IF('LT records'!$F386="Sma","MKT",IF(OR('LT records'!$F386="Val", 'LT records'!$F386="EUR"),"FCY",IF('LT records'!$F386="X-P","PP3",IF('LT records'!$F386="X-m","XAU","???")))))))</f>
        <v>FCY</v>
      </c>
      <c r="H386" s="325" t="n">
        <v>0</v>
      </c>
      <c r="I386" s="340"/>
      <c r="J386" s="340" t="n">
        <v>800</v>
      </c>
      <c r="K386" s="340"/>
      <c r="L386" s="341" t="s">
        <v>485</v>
      </c>
      <c r="M386" s="350" t="str">
        <f aca="false">YEAR('LT records'!$B386)&amp;"-"&amp;MONTH('LT records'!$B386)</f>
        <v>2018-6</v>
      </c>
      <c r="N386" s="343" t="n">
        <f aca="false">'LT records'!$H386+'LT records'!$I386</f>
        <v>0</v>
      </c>
      <c r="P386" s="326"/>
      <c r="S386" s="327"/>
    </row>
    <row r="387" customFormat="false" ht="12.8" hidden="false" customHeight="false" outlineLevel="0" collapsed="false">
      <c r="B387" s="351" t="n">
        <v>43254</v>
      </c>
      <c r="C387" s="348" t="n">
        <f aca="false">YEAR('LT records'!$B387)</f>
        <v>2018</v>
      </c>
      <c r="D387" s="346" t="str">
        <f aca="false">'LT records'!$C387&amp;"-"&amp;MONTH('LT records'!$B387)</f>
        <v>2018-6</v>
      </c>
      <c r="E387" s="324" t="s">
        <v>14</v>
      </c>
      <c r="F387" s="324" t="str">
        <f aca="false">LEFT('LT records'!$E387,3)</f>
        <v>CSH</v>
      </c>
      <c r="G387" s="324" t="str">
        <f aca="false">IF(OR('LT records'!$F387="MyF", 'LT records'!$F387="DEP"),"DEP",IF('LT records'!$F387="CSH","CSH",IF('LT records'!$F387="BON","BND",IF('LT records'!$F387="Sma","MKT",IF(OR('LT records'!$F387="Val", 'LT records'!$F387="EUR"),"FCY",IF('LT records'!$F387="X-P","PP3",IF('LT records'!$F387="X-m","XAU","???")))))))</f>
        <v>CSH</v>
      </c>
      <c r="H387" s="325" t="n">
        <f aca="false">-55</f>
        <v>-55</v>
      </c>
      <c r="I387" s="340" t="n">
        <f aca="false">2.46</f>
        <v>2.46</v>
      </c>
      <c r="J387" s="340"/>
      <c r="K387" s="340"/>
      <c r="L387" s="341" t="s">
        <v>490</v>
      </c>
      <c r="M387" s="350" t="str">
        <f aca="false">YEAR('LT records'!$B387)&amp;"-"&amp;MONTH('LT records'!$B387)</f>
        <v>2018-6</v>
      </c>
      <c r="N387" s="343" t="n">
        <f aca="false">'LT records'!$H387+'LT records'!$I387</f>
        <v>-52.54</v>
      </c>
      <c r="P387" s="326"/>
      <c r="S387" s="327"/>
    </row>
    <row r="388" customFormat="false" ht="12.8" hidden="false" customHeight="false" outlineLevel="0" collapsed="false">
      <c r="B388" s="351" t="n">
        <v>43254</v>
      </c>
      <c r="C388" s="348" t="n">
        <f aca="false">YEAR('LT records'!$B388)</f>
        <v>2018</v>
      </c>
      <c r="D388" s="346" t="str">
        <f aca="false">'LT records'!$C388&amp;"-"&amp;MONTH('LT records'!$B388)</f>
        <v>2018-6</v>
      </c>
      <c r="E388" s="324" t="s">
        <v>444</v>
      </c>
      <c r="F388" s="324" t="str">
        <f aca="false">LEFT('LT records'!$E388,3)</f>
        <v>Val</v>
      </c>
      <c r="G388" s="324" t="str">
        <f aca="false">IF(OR('LT records'!$F388="MyF", 'LT records'!$F388="DEP"),"DEP",IF('LT records'!$F388="CSH","CSH",IF('LT records'!$F388="BON","BND",IF('LT records'!$F388="Sma","MKT",IF(OR('LT records'!$F388="Val", 'LT records'!$F388="EUR"),"FCY",IF('LT records'!$F388="X-P","PP3",IF('LT records'!$F388="X-m","XAU","???")))))))</f>
        <v>FCY</v>
      </c>
      <c r="H388" s="325" t="n">
        <v>0</v>
      </c>
      <c r="I388" s="340"/>
      <c r="J388" s="340"/>
      <c r="K388" s="340" t="n">
        <f aca="false">0.16+0.3</f>
        <v>0.46</v>
      </c>
      <c r="L388" s="341" t="s">
        <v>40</v>
      </c>
      <c r="M388" s="350" t="str">
        <f aca="false">YEAR('LT records'!$B388)&amp;"-"&amp;MONTH('LT records'!$B388)</f>
        <v>2018-6</v>
      </c>
      <c r="N388" s="343" t="n">
        <f aca="false">'LT records'!$H388+'LT records'!$I388</f>
        <v>0</v>
      </c>
      <c r="P388" s="326"/>
      <c r="S388" s="327"/>
    </row>
    <row r="389" customFormat="false" ht="12.8" hidden="false" customHeight="false" outlineLevel="0" collapsed="false">
      <c r="B389" s="351" t="n">
        <v>43266</v>
      </c>
      <c r="C389" s="348" t="n">
        <f aca="false">YEAR('LT records'!$B389)</f>
        <v>2018</v>
      </c>
      <c r="D389" s="346" t="str">
        <f aca="false">'LT records'!$C389&amp;"-"&amp;MONTH('LT records'!$B389)</f>
        <v>2018-6</v>
      </c>
      <c r="E389" s="324" t="s">
        <v>318</v>
      </c>
      <c r="F389" s="324" t="str">
        <f aca="false">LEFT('LT records'!$E389,3)</f>
        <v>X-P</v>
      </c>
      <c r="G389" s="324" t="str">
        <f aca="false">IF(OR('LT records'!$F389="MyF", 'LT records'!$F389="DEP"),"DEP",IF('LT records'!$F389="CSH","CSH",IF('LT records'!$F389="BON","BND",IF('LT records'!$F389="Sma","MKT",IF(OR('LT records'!$F389="Val", 'LT records'!$F389="EUR"),"FCY",IF('LT records'!$F389="X-P","PP3",IF('LT records'!$F389="X-m","XAU","???")))))))</f>
        <v>PP3</v>
      </c>
      <c r="H389" s="325" t="n">
        <v>150</v>
      </c>
      <c r="I389" s="340"/>
      <c r="J389" s="340"/>
      <c r="K389" s="340"/>
      <c r="L389" s="341" t="s">
        <v>443</v>
      </c>
      <c r="M389" s="350" t="str">
        <f aca="false">YEAR('LT records'!$B389)&amp;"-"&amp;MONTH('LT records'!$B389)</f>
        <v>2018-6</v>
      </c>
      <c r="N389" s="343" t="n">
        <f aca="false">'LT records'!$H389+'LT records'!$I389</f>
        <v>150</v>
      </c>
      <c r="O389" s="326"/>
      <c r="P389" s="324"/>
      <c r="R389" s="327"/>
    </row>
    <row r="390" customFormat="false" ht="12.8" hidden="false" customHeight="false" outlineLevel="0" collapsed="false">
      <c r="B390" s="351" t="n">
        <v>43268</v>
      </c>
      <c r="C390" s="348" t="n">
        <f aca="false">YEAR('LT records'!$B390)</f>
        <v>2018</v>
      </c>
      <c r="D390" s="346" t="str">
        <f aca="false">'LT records'!$C390&amp;"-"&amp;MONTH('LT records'!$B390)</f>
        <v>2018-6</v>
      </c>
      <c r="E390" s="324" t="s">
        <v>14</v>
      </c>
      <c r="F390" s="324" t="str">
        <f aca="false">LEFT('LT records'!$E390,3)</f>
        <v>CSH</v>
      </c>
      <c r="G390" s="324" t="str">
        <f aca="false">IF(OR('LT records'!$F390="MyF", 'LT records'!$F390="DEP"),"DEP",IF('LT records'!$F390="CSH","CSH",IF('LT records'!$F390="BON","BND",IF('LT records'!$F390="Sma","MKT",IF(OR('LT records'!$F390="Val", 'LT records'!$F390="EUR"),"FCY",IF('LT records'!$F390="X-P","PP3",IF('LT records'!$F390="X-m","XAU","???")))))))</f>
        <v>CSH</v>
      </c>
      <c r="H390" s="325" t="n">
        <f aca="false">-70</f>
        <v>-70</v>
      </c>
      <c r="I390" s="340" t="n">
        <f aca="false">0.02+1.8</f>
        <v>1.82</v>
      </c>
      <c r="J390" s="340"/>
      <c r="K390" s="340"/>
      <c r="L390" s="341" t="s">
        <v>480</v>
      </c>
      <c r="M390" s="350" t="str">
        <f aca="false">YEAR('LT records'!$B390)&amp;"-"&amp;MONTH('LT records'!$B390)</f>
        <v>2018-6</v>
      </c>
      <c r="N390" s="343" t="n">
        <f aca="false">'LT records'!$H390+'LT records'!$I390</f>
        <v>-68.18</v>
      </c>
      <c r="O390" s="326"/>
      <c r="P390" s="324"/>
      <c r="R390" s="327"/>
    </row>
    <row r="391" customFormat="false" ht="12.8" hidden="false" customHeight="false" outlineLevel="0" collapsed="false">
      <c r="B391" s="351" t="n">
        <v>43270</v>
      </c>
      <c r="C391" s="348" t="n">
        <f aca="false">YEAR('LT records'!$B391)</f>
        <v>2018</v>
      </c>
      <c r="D391" s="346" t="str">
        <f aca="false">'LT records'!$C391&amp;"-"&amp;MONTH('LT records'!$B391)</f>
        <v>2018-6</v>
      </c>
      <c r="E391" s="324" t="s">
        <v>444</v>
      </c>
      <c r="F391" s="324" t="str">
        <f aca="false">LEFT('LT records'!$E391,3)</f>
        <v>Val</v>
      </c>
      <c r="G391" s="324" t="str">
        <f aca="false">IF(OR('LT records'!$F391="MyF", 'LT records'!$F391="DEP"),"DEP",IF('LT records'!$F391="CSH","CSH",IF('LT records'!$F391="BON","BND",IF('LT records'!$F391="Sma","MKT",IF(OR('LT records'!$F391="Val", 'LT records'!$F391="EUR"),"FCY",IF('LT records'!$F391="X-P","PP3",IF('LT records'!$F391="X-m","XAU","???")))))))</f>
        <v>FCY</v>
      </c>
      <c r="H391" s="325" t="n">
        <v>0</v>
      </c>
      <c r="I391" s="340"/>
      <c r="J391" s="340" t="n">
        <v>2300</v>
      </c>
      <c r="K391" s="340"/>
      <c r="L391" s="341" t="s">
        <v>491</v>
      </c>
      <c r="M391" s="350" t="str">
        <f aca="false">YEAR('LT records'!$B391)&amp;"-"&amp;MONTH('LT records'!$B391)</f>
        <v>2018-6</v>
      </c>
      <c r="N391" s="343" t="n">
        <f aca="false">'LT records'!$H391+'LT records'!$I391</f>
        <v>0</v>
      </c>
      <c r="O391" s="326"/>
      <c r="P391" s="324"/>
      <c r="R391" s="327"/>
    </row>
    <row r="392" customFormat="false" ht="12.8" hidden="false" customHeight="false" outlineLevel="0" collapsed="false">
      <c r="B392" s="351" t="n">
        <v>43271</v>
      </c>
      <c r="C392" s="348" t="n">
        <f aca="false">YEAR('LT records'!$B392)</f>
        <v>2018</v>
      </c>
      <c r="D392" s="346" t="str">
        <f aca="false">'LT records'!$C392&amp;"-"&amp;MONTH('LT records'!$B392)</f>
        <v>2018-6</v>
      </c>
      <c r="E392" s="324" t="s">
        <v>14</v>
      </c>
      <c r="F392" s="324" t="str">
        <f aca="false">LEFT('LT records'!$E392,3)</f>
        <v>CSH</v>
      </c>
      <c r="G392" s="324" t="str">
        <f aca="false">IF(OR('LT records'!$F392="MyF", 'LT records'!$F392="DEP"),"DEP",IF('LT records'!$F392="CSH","CSH",IF('LT records'!$F392="BON","BND",IF('LT records'!$F392="Sma","MKT",IF(OR('LT records'!$F392="Val", 'LT records'!$F392="EUR"),"FCY",IF('LT records'!$F392="X-P","PP3",IF('LT records'!$F392="X-m","XAU","???")))))))</f>
        <v>CSH</v>
      </c>
      <c r="H392" s="325" t="n">
        <f aca="false">3000-30-275</f>
        <v>2695</v>
      </c>
      <c r="I392" s="340"/>
      <c r="J392" s="340"/>
      <c r="K392" s="340"/>
      <c r="L392" s="341" t="s">
        <v>56</v>
      </c>
      <c r="M392" s="350" t="str">
        <f aca="false">YEAR('LT records'!$B392)&amp;"-"&amp;MONTH('LT records'!$B392)</f>
        <v>2018-6</v>
      </c>
      <c r="N392" s="343" t="n">
        <f aca="false">'LT records'!$H392+'LT records'!$I392</f>
        <v>2695</v>
      </c>
      <c r="O392" s="326"/>
      <c r="P392" s="324"/>
      <c r="R392" s="327"/>
    </row>
    <row r="393" customFormat="false" ht="12.8" hidden="false" customHeight="false" outlineLevel="0" collapsed="false">
      <c r="B393" s="351" t="n">
        <v>43274</v>
      </c>
      <c r="C393" s="348" t="n">
        <f aca="false">YEAR('LT records'!$B393)</f>
        <v>2018</v>
      </c>
      <c r="D393" s="346" t="str">
        <f aca="false">'LT records'!$C393&amp;"-"&amp;MONTH('LT records'!$B393)</f>
        <v>2018-6</v>
      </c>
      <c r="E393" s="324" t="s">
        <v>14</v>
      </c>
      <c r="F393" s="324" t="str">
        <f aca="false">LEFT('LT records'!$E393,3)</f>
        <v>CSH</v>
      </c>
      <c r="G393" s="324" t="str">
        <f aca="false">IF(OR('LT records'!$F393="MyF", 'LT records'!$F393="DEP"),"DEP",IF('LT records'!$F393="CSH","CSH",IF('LT records'!$F393="BON","BND",IF('LT records'!$F393="Sma","MKT",IF(OR('LT records'!$F393="Val", 'LT records'!$F393="EUR"),"FCY",IF('LT records'!$F393="X-P","PP3",IF('LT records'!$F393="X-m","XAU","???")))))))</f>
        <v>CSH</v>
      </c>
      <c r="H393" s="325" t="n">
        <v>-5000</v>
      </c>
      <c r="I393" s="340"/>
      <c r="J393" s="340"/>
      <c r="K393" s="340"/>
      <c r="L393" s="341" t="s">
        <v>492</v>
      </c>
      <c r="M393" s="350" t="str">
        <f aca="false">YEAR('LT records'!$B393)&amp;"-"&amp;MONTH('LT records'!$B393)</f>
        <v>2018-6</v>
      </c>
      <c r="N393" s="343" t="n">
        <f aca="false">'LT records'!$H393+'LT records'!$I393</f>
        <v>-5000</v>
      </c>
      <c r="O393" s="326"/>
      <c r="P393" s="324"/>
      <c r="R393" s="327"/>
    </row>
    <row r="394" customFormat="false" ht="12.8" hidden="false" customHeight="false" outlineLevel="0" collapsed="false">
      <c r="B394" s="351" t="n">
        <v>43274</v>
      </c>
      <c r="C394" s="348" t="n">
        <f aca="false">YEAR('LT records'!$B394)</f>
        <v>2018</v>
      </c>
      <c r="D394" s="346" t="str">
        <f aca="false">'LT records'!$C394&amp;"-"&amp;MONTH('LT records'!$B394)</f>
        <v>2018-6</v>
      </c>
      <c r="E394" s="324" t="s">
        <v>493</v>
      </c>
      <c r="F394" s="324" t="str">
        <f aca="false">LEFT('LT records'!$E394,3)</f>
        <v>dep</v>
      </c>
      <c r="G394" s="324" t="str">
        <f aca="false">IF(OR('LT records'!$F394="MyF", 'LT records'!$F394="DEP"),"DEP",IF('LT records'!$F394="CSH","CSH",IF('LT records'!$F394="BON","BND",IF('LT records'!$F394="Sma","MKT",IF(OR('LT records'!$F394="Val", 'LT records'!$F394="EUR"),"FCY",IF('LT records'!$F394="X-P","PP3",IF('LT records'!$F394="X-m","XAU","???")))))))</f>
        <v>DEP</v>
      </c>
      <c r="H394" s="325" t="n">
        <v>5000</v>
      </c>
      <c r="I394" s="340"/>
      <c r="J394" s="340"/>
      <c r="K394" s="340"/>
      <c r="L394" s="341" t="s">
        <v>494</v>
      </c>
      <c r="M394" s="350" t="str">
        <f aca="false">YEAR('LT records'!$B394)&amp;"-"&amp;MONTH('LT records'!$B394)</f>
        <v>2018-6</v>
      </c>
      <c r="N394" s="343" t="n">
        <f aca="false">'LT records'!$H394+'LT records'!$I394</f>
        <v>5000</v>
      </c>
      <c r="O394" s="326"/>
      <c r="P394" s="324"/>
      <c r="R394" s="327"/>
    </row>
    <row r="395" customFormat="false" ht="12.8" hidden="false" customHeight="false" outlineLevel="0" collapsed="false">
      <c r="B395" s="351" t="n">
        <v>43276</v>
      </c>
      <c r="C395" s="348" t="n">
        <f aca="false">YEAR('LT records'!$B395)</f>
        <v>2018</v>
      </c>
      <c r="D395" s="346" t="str">
        <f aca="false">'LT records'!$C395&amp;"-"&amp;MONTH('LT records'!$B395)</f>
        <v>2018-6</v>
      </c>
      <c r="E395" s="324" t="s">
        <v>423</v>
      </c>
      <c r="F395" s="324" t="str">
        <f aca="false">LEFT('LT records'!$E395,3)</f>
        <v>Sma</v>
      </c>
      <c r="G395" s="324" t="str">
        <f aca="false">IF(OR('LT records'!$F395="MyF", 'LT records'!$F395="DEP"),"DEP",IF('LT records'!$F395="CSH","CSH",IF('LT records'!$F395="BON","BND",IF('LT records'!$F395="Sma","MKT",IF(OR('LT records'!$F395="Val", 'LT records'!$F395="EUR"),"FCY",IF('LT records'!$F395="X-P","PP3",IF('LT records'!$F395="X-m","XAU","???")))))))</f>
        <v>MKT</v>
      </c>
      <c r="H395" s="325" t="n">
        <v>1100</v>
      </c>
      <c r="I395" s="340"/>
      <c r="J395" s="340"/>
      <c r="K395" s="340"/>
      <c r="L395" s="341" t="s">
        <v>460</v>
      </c>
      <c r="M395" s="350" t="str">
        <f aca="false">YEAR('LT records'!$B395)&amp;"-"&amp;MONTH('LT records'!$B395)</f>
        <v>2018-6</v>
      </c>
      <c r="N395" s="343" t="n">
        <f aca="false">'LT records'!$H395+'LT records'!$I395</f>
        <v>1100</v>
      </c>
      <c r="O395" s="326"/>
      <c r="P395" s="324"/>
      <c r="R395" s="327"/>
    </row>
    <row r="396" customFormat="false" ht="12.8" hidden="false" customHeight="false" outlineLevel="0" collapsed="false">
      <c r="B396" s="351" t="n">
        <v>43276</v>
      </c>
      <c r="C396" s="348" t="n">
        <f aca="false">YEAR('LT records'!$B396)</f>
        <v>2018</v>
      </c>
      <c r="D396" s="346" t="str">
        <f aca="false">'LT records'!$C396&amp;"-"&amp;MONTH('LT records'!$B396)</f>
        <v>2018-6</v>
      </c>
      <c r="E396" s="324" t="s">
        <v>318</v>
      </c>
      <c r="F396" s="324" t="str">
        <f aca="false">LEFT('LT records'!$E396,3)</f>
        <v>X-P</v>
      </c>
      <c r="G396" s="324" t="str">
        <f aca="false">IF(OR('LT records'!$F396="MyF", 'LT records'!$F396="DEP"),"DEP",IF('LT records'!$F396="CSH","CSH",IF('LT records'!$F396="BON","BND",IF('LT records'!$F396="Sma","MKT",IF(OR('LT records'!$F396="Val", 'LT records'!$F396="EUR"),"FCY",IF('LT records'!$F396="X-P","PP3",IF('LT records'!$F396="X-m","XAU","???")))))))</f>
        <v>PP3</v>
      </c>
      <c r="H396" s="325" t="n">
        <v>300</v>
      </c>
      <c r="I396" s="340"/>
      <c r="J396" s="340"/>
      <c r="K396" s="340"/>
      <c r="L396" s="341" t="s">
        <v>459</v>
      </c>
      <c r="M396" s="350" t="str">
        <f aca="false">YEAR('LT records'!$B396)&amp;"-"&amp;MONTH('LT records'!$B396)</f>
        <v>2018-6</v>
      </c>
      <c r="N396" s="343" t="n">
        <f aca="false">'LT records'!$H396+'LT records'!$I396</f>
        <v>300</v>
      </c>
      <c r="O396" s="326"/>
      <c r="P396" s="324"/>
      <c r="R396" s="327"/>
    </row>
    <row r="397" customFormat="false" ht="12.8" hidden="false" customHeight="false" outlineLevel="0" collapsed="false">
      <c r="B397" s="351" t="n">
        <v>43276</v>
      </c>
      <c r="C397" s="348" t="n">
        <f aca="false">YEAR('LT records'!$B397)</f>
        <v>2018</v>
      </c>
      <c r="D397" s="346" t="str">
        <f aca="false">'LT records'!$C397&amp;"-"&amp;MONTH('LT records'!$B397)</f>
        <v>2018-6</v>
      </c>
      <c r="E397" s="324" t="s">
        <v>14</v>
      </c>
      <c r="F397" s="324" t="str">
        <f aca="false">LEFT('LT records'!$E397,3)</f>
        <v>CSH</v>
      </c>
      <c r="G397" s="324" t="str">
        <f aca="false">IF(OR('LT records'!$F397="MyF", 'LT records'!$F397="DEP"),"DEP",IF('LT records'!$F397="CSH","CSH",IF('LT records'!$F397="BON","BND",IF('LT records'!$F397="Sma","MKT",IF(OR('LT records'!$F397="Val", 'LT records'!$F397="EUR"),"FCY",IF('LT records'!$F397="X-P","PP3",IF('LT records'!$F397="X-m","XAU","???")))))))</f>
        <v>CSH</v>
      </c>
      <c r="H397" s="325" t="n">
        <f aca="false">-174-70-143</f>
        <v>-387</v>
      </c>
      <c r="I397" s="340"/>
      <c r="J397" s="340"/>
      <c r="K397" s="340"/>
      <c r="L397" s="341" t="s">
        <v>495</v>
      </c>
      <c r="M397" s="350" t="str">
        <f aca="false">YEAR('LT records'!$B397)&amp;"-"&amp;MONTH('LT records'!$B397)</f>
        <v>2018-6</v>
      </c>
      <c r="N397" s="343" t="n">
        <f aca="false">'LT records'!$H397+'LT records'!$I397</f>
        <v>-387</v>
      </c>
      <c r="O397" s="326"/>
      <c r="P397" s="324"/>
      <c r="R397" s="327"/>
    </row>
    <row r="398" customFormat="false" ht="12.8" hidden="false" customHeight="false" outlineLevel="0" collapsed="false">
      <c r="B398" s="351" t="n">
        <v>43278</v>
      </c>
      <c r="C398" s="348" t="n">
        <f aca="false">YEAR('LT records'!$B398)</f>
        <v>2018</v>
      </c>
      <c r="D398" s="346" t="str">
        <f aca="false">'LT records'!$C398&amp;"-"&amp;MONTH('LT records'!$B398)</f>
        <v>2018-6</v>
      </c>
      <c r="E398" s="324" t="s">
        <v>444</v>
      </c>
      <c r="F398" s="324" t="str">
        <f aca="false">LEFT('LT records'!$E398,3)</f>
        <v>Val</v>
      </c>
      <c r="G398" s="324" t="str">
        <f aca="false">IF(OR('LT records'!$F398="MyF", 'LT records'!$F398="DEP"),"DEP",IF('LT records'!$F398="CSH","CSH",IF('LT records'!$F398="BON","BND",IF('LT records'!$F398="Sma","MKT",IF(OR('LT records'!$F398="Val", 'LT records'!$F398="EUR"),"FCY",IF('LT records'!$F398="X-P","PP3",IF('LT records'!$F398="X-m","XAU","???")))))))</f>
        <v>FCY</v>
      </c>
      <c r="H398" s="325" t="n">
        <v>50.01</v>
      </c>
      <c r="I398" s="340"/>
      <c r="J398" s="340" t="n">
        <v>10.67</v>
      </c>
      <c r="K398" s="340"/>
      <c r="L398" s="341" t="s">
        <v>496</v>
      </c>
      <c r="M398" s="350" t="str">
        <f aca="false">YEAR('LT records'!$B398)&amp;"-"&amp;MONTH('LT records'!$B398)</f>
        <v>2018-6</v>
      </c>
      <c r="N398" s="343" t="n">
        <f aca="false">'LT records'!$H398+'LT records'!$I398</f>
        <v>50.01</v>
      </c>
      <c r="O398" s="326"/>
      <c r="P398" s="324"/>
      <c r="R398" s="327"/>
    </row>
    <row r="399" customFormat="false" ht="12.8" hidden="false" customHeight="false" outlineLevel="0" collapsed="false">
      <c r="B399" s="351" t="n">
        <v>43279</v>
      </c>
      <c r="C399" s="348" t="n">
        <f aca="false">YEAR('LT records'!$B399)</f>
        <v>2018</v>
      </c>
      <c r="D399" s="346" t="str">
        <f aca="false">'LT records'!$C399&amp;"-"&amp;MONTH('LT records'!$B399)</f>
        <v>2018-6</v>
      </c>
      <c r="E399" s="324" t="s">
        <v>14</v>
      </c>
      <c r="F399" s="324" t="str">
        <f aca="false">LEFT('LT records'!$E399,3)</f>
        <v>CSH</v>
      </c>
      <c r="G399" s="324" t="str">
        <f aca="false">IF(OR('LT records'!$F399="MyF", 'LT records'!$F399="DEP"),"DEP",IF('LT records'!$F399="CSH","CSH",IF('LT records'!$F399="BON","BND",IF('LT records'!$F399="Sma","MKT",IF(OR('LT records'!$F399="Val", 'LT records'!$F399="EUR"),"FCY",IF('LT records'!$F399="X-P","PP3",IF('LT records'!$F399="X-m","XAU","???")))))))</f>
        <v>CSH</v>
      </c>
      <c r="H399" s="325" t="n">
        <v>50</v>
      </c>
      <c r="I399" s="340"/>
      <c r="J399" s="340"/>
      <c r="K399" s="340"/>
      <c r="L399" s="341" t="s">
        <v>430</v>
      </c>
      <c r="M399" s="350" t="str">
        <f aca="false">YEAR('LT records'!$B399)&amp;"-"&amp;MONTH('LT records'!$B399)</f>
        <v>2018-6</v>
      </c>
      <c r="N399" s="343" t="n">
        <f aca="false">'LT records'!$H399+'LT records'!$I399</f>
        <v>50</v>
      </c>
      <c r="O399" s="326"/>
      <c r="P399" s="324"/>
      <c r="R399" s="327"/>
    </row>
    <row r="400" customFormat="false" ht="12.8" hidden="false" customHeight="false" outlineLevel="0" collapsed="false">
      <c r="B400" s="351" t="n">
        <v>43281</v>
      </c>
      <c r="C400" s="348" t="n">
        <f aca="false">YEAR('LT records'!$B400)</f>
        <v>2018</v>
      </c>
      <c r="D400" s="346" t="str">
        <f aca="false">'LT records'!$C400&amp;"-"&amp;MONTH('LT records'!$B400)</f>
        <v>2018-6</v>
      </c>
      <c r="E400" s="324" t="s">
        <v>444</v>
      </c>
      <c r="F400" s="324" t="str">
        <f aca="false">LEFT('LT records'!$E400,3)</f>
        <v>Val</v>
      </c>
      <c r="G400" s="324" t="str">
        <f aca="false">IF(OR('LT records'!$F400="MyF", 'LT records'!$F400="DEP"),"DEP",IF('LT records'!$F400="CSH","CSH",IF('LT records'!$F400="BON","BND",IF('LT records'!$F400="Sma","MKT",IF(OR('LT records'!$F400="Val", 'LT records'!$F400="EUR"),"FCY",IF('LT records'!$F400="X-P","PP3",IF('LT records'!$F400="X-m","XAU","???")))))))</f>
        <v>FCY</v>
      </c>
      <c r="H400" s="325" t="n">
        <v>0</v>
      </c>
      <c r="I400" s="340"/>
      <c r="J400" s="340"/>
      <c r="K400" s="340" t="n">
        <v>0.46</v>
      </c>
      <c r="L400" s="341" t="s">
        <v>40</v>
      </c>
      <c r="M400" s="350" t="str">
        <f aca="false">YEAR('LT records'!$B400)&amp;"-"&amp;MONTH('LT records'!$B400)</f>
        <v>2018-6</v>
      </c>
      <c r="N400" s="343" t="n">
        <f aca="false">'LT records'!$H400+'LT records'!$I400</f>
        <v>0</v>
      </c>
      <c r="O400" s="326"/>
      <c r="P400" s="324"/>
      <c r="R400" s="327"/>
    </row>
    <row r="401" customFormat="false" ht="12.8" hidden="false" customHeight="false" outlineLevel="0" collapsed="false">
      <c r="B401" s="351" t="n">
        <v>43281</v>
      </c>
      <c r="C401" s="348" t="n">
        <f aca="false">YEAR('LT records'!$B401)</f>
        <v>2018</v>
      </c>
      <c r="D401" s="346" t="str">
        <f aca="false">'LT records'!$C401&amp;"-"&amp;MONTH('LT records'!$B401)</f>
        <v>2018-6</v>
      </c>
      <c r="E401" s="324" t="s">
        <v>14</v>
      </c>
      <c r="F401" s="324" t="str">
        <f aca="false">LEFT('LT records'!$E401,3)</f>
        <v>CSH</v>
      </c>
      <c r="G401" s="324" t="str">
        <f aca="false">IF(OR('LT records'!$F401="MyF", 'LT records'!$F401="DEP"),"DEP",IF('LT records'!$F401="CSH","CSH",IF('LT records'!$F401="BON","BND",IF('LT records'!$F401="Sma","MKT",IF(OR('LT records'!$F401="Val", 'LT records'!$F401="EUR"),"FCY",IF('LT records'!$F401="X-P","PP3",IF('LT records'!$F401="X-m","XAU","???")))))))</f>
        <v>CSH</v>
      </c>
      <c r="H401" s="325" t="n">
        <v>0</v>
      </c>
      <c r="I401" s="340" t="n">
        <v>1.55</v>
      </c>
      <c r="J401" s="340"/>
      <c r="K401" s="340"/>
      <c r="L401" s="341" t="s">
        <v>40</v>
      </c>
      <c r="M401" s="350" t="str">
        <f aca="false">YEAR('LT records'!$B401)&amp;"-"&amp;MONTH('LT records'!$B401)</f>
        <v>2018-6</v>
      </c>
      <c r="N401" s="343" t="n">
        <f aca="false">'LT records'!$H401+'LT records'!$I401</f>
        <v>1.55</v>
      </c>
      <c r="O401" s="326"/>
      <c r="P401" s="324"/>
      <c r="R401" s="327"/>
    </row>
    <row r="402" customFormat="false" ht="12.8" hidden="false" customHeight="false" outlineLevel="0" collapsed="false">
      <c r="B402" s="351" t="n">
        <v>43284</v>
      </c>
      <c r="C402" s="348" t="n">
        <f aca="false">YEAR('LT records'!$B402)</f>
        <v>2018</v>
      </c>
      <c r="D402" s="346" t="str">
        <f aca="false">'LT records'!$C402&amp;"-"&amp;MONTH('LT records'!$B402)</f>
        <v>2018-7</v>
      </c>
      <c r="E402" s="324" t="s">
        <v>444</v>
      </c>
      <c r="F402" s="324" t="str">
        <f aca="false">LEFT('LT records'!$E402,3)</f>
        <v>Val</v>
      </c>
      <c r="G402" s="324" t="str">
        <f aca="false">IF(OR('LT records'!$F402="MyF", 'LT records'!$F402="DEP"),"DEP",IF('LT records'!$F402="CSH","CSH",IF('LT records'!$F402="BON","BND",IF('LT records'!$F402="Sma","MKT",IF(OR('LT records'!$F402="Val", 'LT records'!$F402="EUR"),"FCY",IF('LT records'!$F402="X-P","PP3",IF('LT records'!$F402="X-m","XAU","???")))))))</f>
        <v>FCY</v>
      </c>
      <c r="H402" s="325" t="n">
        <v>0</v>
      </c>
      <c r="I402" s="340"/>
      <c r="J402" s="340" t="n">
        <v>-800</v>
      </c>
      <c r="K402" s="340"/>
      <c r="L402" s="341" t="s">
        <v>497</v>
      </c>
      <c r="M402" s="350" t="str">
        <f aca="false">YEAR('LT records'!$B402)&amp;"-"&amp;MONTH('LT records'!$B402)</f>
        <v>2018-7</v>
      </c>
      <c r="N402" s="343" t="n">
        <f aca="false">'LT records'!$H402+'LT records'!$I402</f>
        <v>0</v>
      </c>
      <c r="O402" s="326"/>
      <c r="P402" s="324"/>
      <c r="R402" s="327"/>
    </row>
    <row r="403" customFormat="false" ht="12.8" hidden="false" customHeight="false" outlineLevel="0" collapsed="false">
      <c r="B403" s="351" t="n">
        <v>43284</v>
      </c>
      <c r="C403" s="348" t="n">
        <f aca="false">YEAR('LT records'!$B403)</f>
        <v>2018</v>
      </c>
      <c r="D403" s="346" t="str">
        <f aca="false">'LT records'!$C403&amp;"-"&amp;MONTH('LT records'!$B403)</f>
        <v>2018-7</v>
      </c>
      <c r="E403" s="324" t="s">
        <v>498</v>
      </c>
      <c r="F403" s="324" t="str">
        <f aca="false">LEFT('LT records'!$E403,3)</f>
        <v>EUR</v>
      </c>
      <c r="G403" s="324" t="str">
        <f aca="false">IF(OR('LT records'!$F403="MyF", 'LT records'!$F403="DEP"),"DEP",IF('LT records'!$F403="CSH","CSH",IF('LT records'!$F403="BON","BND",IF('LT records'!$F403="Sma","MKT",IF(OR('LT records'!$F403="Val", 'LT records'!$F403="EUR"),"FCY",IF('LT records'!$F403="X-P","PP3",IF('LT records'!$F403="X-m","XAU","???")))))))</f>
        <v>FCY</v>
      </c>
      <c r="H403" s="325" t="n">
        <v>0</v>
      </c>
      <c r="I403" s="340"/>
      <c r="J403" s="340" t="n">
        <v>800</v>
      </c>
      <c r="K403" s="340"/>
      <c r="L403" s="341" t="s">
        <v>499</v>
      </c>
      <c r="M403" s="350" t="str">
        <f aca="false">YEAR('LT records'!$B403)&amp;"-"&amp;MONTH('LT records'!$B403)</f>
        <v>2018-7</v>
      </c>
      <c r="N403" s="343" t="n">
        <f aca="false">'LT records'!$H403+'LT records'!$I403</f>
        <v>0</v>
      </c>
      <c r="O403" s="326"/>
      <c r="P403" s="324"/>
      <c r="R403" s="327"/>
    </row>
    <row r="404" customFormat="false" ht="12.8" hidden="false" customHeight="false" outlineLevel="0" collapsed="false">
      <c r="B404" s="351" t="n">
        <v>43284</v>
      </c>
      <c r="C404" s="348" t="n">
        <f aca="false">YEAR('LT records'!$B404)</f>
        <v>2018</v>
      </c>
      <c r="D404" s="346" t="str">
        <f aca="false">'LT records'!$C404&amp;"-"&amp;MONTH('LT records'!$B404)</f>
        <v>2018-7</v>
      </c>
      <c r="E404" s="324" t="s">
        <v>301</v>
      </c>
      <c r="F404" s="324" t="str">
        <f aca="false">LEFT('LT records'!$E404,3)</f>
        <v>DEP</v>
      </c>
      <c r="G404" s="324" t="str">
        <f aca="false">IF(OR('LT records'!$F404="MyF", 'LT records'!$F404="DEP"),"DEP",IF('LT records'!$F404="CSH","CSH",IF('LT records'!$F404="BON","BND",IF('LT records'!$F404="Sma","MKT",IF(OR('LT records'!$F404="Val", 'LT records'!$F404="EUR"),"FCY",IF('LT records'!$F404="X-P","PP3",IF('LT records'!$F404="X-m","XAU","???")))))))</f>
        <v>DEP</v>
      </c>
      <c r="H404" s="325" t="n">
        <v>0</v>
      </c>
      <c r="I404" s="340" t="n">
        <f aca="false">32.53-32.53</f>
        <v>0</v>
      </c>
      <c r="J404" s="340"/>
      <c r="K404" s="340"/>
      <c r="L404" s="341" t="s">
        <v>500</v>
      </c>
      <c r="M404" s="350" t="str">
        <f aca="false">YEAR('LT records'!$B404)&amp;"-"&amp;MONTH('LT records'!$B404)</f>
        <v>2018-7</v>
      </c>
      <c r="N404" s="343" t="n">
        <f aca="false">'LT records'!$H404+'LT records'!$I404</f>
        <v>0</v>
      </c>
      <c r="O404" s="326"/>
      <c r="P404" s="324"/>
      <c r="R404" s="327"/>
    </row>
    <row r="405" customFormat="false" ht="12.8" hidden="false" customHeight="false" outlineLevel="0" collapsed="false">
      <c r="B405" s="351" t="n">
        <v>43284</v>
      </c>
      <c r="C405" s="348" t="n">
        <f aca="false">YEAR('LT records'!$B405)</f>
        <v>2018</v>
      </c>
      <c r="D405" s="346" t="str">
        <f aca="false">'LT records'!$C405&amp;"-"&amp;MONTH('LT records'!$B405)</f>
        <v>2018-7</v>
      </c>
      <c r="E405" s="324" t="s">
        <v>14</v>
      </c>
      <c r="F405" s="324" t="str">
        <f aca="false">LEFT('LT records'!$E405,3)</f>
        <v>CSH</v>
      </c>
      <c r="G405" s="324" t="str">
        <f aca="false">IF(OR('LT records'!$F405="MyF", 'LT records'!$F405="DEP"),"DEP",IF('LT records'!$F405="CSH","CSH",IF('LT records'!$F405="BON","BND",IF('LT records'!$F405="Sma","MKT",IF(OR('LT records'!$F405="Val", 'LT records'!$F405="EUR"),"FCY",IF('LT records'!$F405="X-P","PP3",IF('LT records'!$F405="X-m","XAU","???")))))))</f>
        <v>CSH</v>
      </c>
      <c r="H405" s="325" t="n">
        <v>32.53</v>
      </c>
      <c r="I405" s="340"/>
      <c r="J405" s="340"/>
      <c r="K405" s="340"/>
      <c r="L405" s="341" t="s">
        <v>501</v>
      </c>
      <c r="M405" s="350" t="str">
        <f aca="false">YEAR('LT records'!$B405)&amp;"-"&amp;MONTH('LT records'!$B405)</f>
        <v>2018-7</v>
      </c>
      <c r="N405" s="343" t="n">
        <f aca="false">'LT records'!$H405+'LT records'!$I405</f>
        <v>32.53</v>
      </c>
      <c r="O405" s="326"/>
      <c r="P405" s="324"/>
      <c r="R405" s="327"/>
    </row>
    <row r="406" customFormat="false" ht="12.8" hidden="false" customHeight="false" outlineLevel="0" collapsed="false">
      <c r="B406" s="351" t="n">
        <v>43287</v>
      </c>
      <c r="C406" s="348" t="n">
        <f aca="false">YEAR('LT records'!$B406)</f>
        <v>2018</v>
      </c>
      <c r="D406" s="346" t="str">
        <f aca="false">'LT records'!$C406&amp;"-"&amp;MONTH('LT records'!$B406)</f>
        <v>2018-7</v>
      </c>
      <c r="E406" s="324" t="s">
        <v>444</v>
      </c>
      <c r="F406" s="324" t="str">
        <f aca="false">LEFT('LT records'!$E406,3)</f>
        <v>Val</v>
      </c>
      <c r="G406" s="324" t="str">
        <f aca="false">IF(OR('LT records'!$F406="MyF", 'LT records'!$F406="DEP"),"DEP",IF('LT records'!$F406="CSH","CSH",IF('LT records'!$F406="BON","BND",IF('LT records'!$F406="Sma","MKT",IF(OR('LT records'!$F406="Val", 'LT records'!$F406="EUR"),"FCY",IF('LT records'!$F406="X-P","PP3",IF('LT records'!$F406="X-m","XAU","???")))))))</f>
        <v>FCY</v>
      </c>
      <c r="H406" s="325" t="n">
        <v>233.5</v>
      </c>
      <c r="I406" s="340"/>
      <c r="J406" s="340" t="n">
        <v>50</v>
      </c>
      <c r="K406" s="340"/>
      <c r="L406" s="341" t="s">
        <v>450</v>
      </c>
      <c r="M406" s="350" t="str">
        <f aca="false">YEAR('LT records'!$B406)&amp;"-"&amp;MONTH('LT records'!$B406)</f>
        <v>2018-7</v>
      </c>
      <c r="N406" s="343" t="n">
        <f aca="false">'LT records'!$H406+'LT records'!$I406</f>
        <v>233.5</v>
      </c>
      <c r="O406" s="326"/>
      <c r="P406" s="324"/>
      <c r="R406" s="327"/>
    </row>
    <row r="407" customFormat="false" ht="12.8" hidden="false" customHeight="false" outlineLevel="0" collapsed="false">
      <c r="B407" s="351" t="n">
        <v>43289</v>
      </c>
      <c r="C407" s="348" t="n">
        <f aca="false">YEAR('LT records'!$B407)</f>
        <v>2018</v>
      </c>
      <c r="D407" s="346" t="str">
        <f aca="false">'LT records'!$C407&amp;"-"&amp;MONTH('LT records'!$B407)</f>
        <v>2018-7</v>
      </c>
      <c r="E407" s="324" t="s">
        <v>14</v>
      </c>
      <c r="F407" s="324" t="str">
        <f aca="false">LEFT('LT records'!$E407,3)</f>
        <v>CSH</v>
      </c>
      <c r="G407" s="324" t="str">
        <f aca="false">IF(OR('LT records'!$F407="MyF", 'LT records'!$F407="DEP"),"DEP",IF('LT records'!$F407="CSH","CSH",IF('LT records'!$F407="BON","BND",IF('LT records'!$F407="Sma","MKT",IF(OR('LT records'!$F407="Val", 'LT records'!$F407="EUR"),"FCY",IF('LT records'!$F407="X-P","PP3",IF('LT records'!$F407="X-m","XAU","???")))))))</f>
        <v>CSH</v>
      </c>
      <c r="H407" s="325" t="n">
        <f aca="false">-72-58-20-65-72-72+73</f>
        <v>-286</v>
      </c>
      <c r="I407" s="340"/>
      <c r="J407" s="340"/>
      <c r="K407" s="340"/>
      <c r="L407" s="341" t="s">
        <v>480</v>
      </c>
      <c r="M407" s="350" t="str">
        <f aca="false">YEAR('LT records'!$B407)&amp;"-"&amp;MONTH('LT records'!$B407)</f>
        <v>2018-7</v>
      </c>
      <c r="N407" s="343" t="n">
        <f aca="false">'LT records'!$H407+'LT records'!$I407</f>
        <v>-286</v>
      </c>
      <c r="O407" s="326"/>
      <c r="P407" s="324"/>
      <c r="R407" s="327"/>
    </row>
    <row r="408" customFormat="false" ht="12.8" hidden="false" customHeight="false" outlineLevel="0" collapsed="false">
      <c r="B408" s="351" t="n">
        <v>43297</v>
      </c>
      <c r="C408" s="348" t="n">
        <f aca="false">YEAR('LT records'!$B408)</f>
        <v>2018</v>
      </c>
      <c r="D408" s="346" t="str">
        <f aca="false">'LT records'!$C408&amp;"-"&amp;MONTH('LT records'!$B408)</f>
        <v>2018-7</v>
      </c>
      <c r="E408" s="324" t="s">
        <v>318</v>
      </c>
      <c r="F408" s="324" t="str">
        <f aca="false">LEFT('LT records'!$E408,3)</f>
        <v>X-P</v>
      </c>
      <c r="G408" s="324" t="str">
        <f aca="false">IF(OR('LT records'!$F408="MyF", 'LT records'!$F408="DEP"),"DEP",IF('LT records'!$F408="CSH","CSH",IF('LT records'!$F408="BON","BND",IF('LT records'!$F408="Sma","MKT",IF(OR('LT records'!$F408="Val", 'LT records'!$F408="EUR"),"FCY",IF('LT records'!$F408="X-P","PP3",IF('LT records'!$F408="X-m","XAU","???")))))))</f>
        <v>PP3</v>
      </c>
      <c r="H408" s="325" t="n">
        <v>150</v>
      </c>
      <c r="I408" s="340"/>
      <c r="J408" s="340"/>
      <c r="K408" s="340"/>
      <c r="L408" s="341" t="s">
        <v>443</v>
      </c>
      <c r="M408" s="350" t="str">
        <f aca="false">YEAR('LT records'!$B408)&amp;"-"&amp;MONTH('LT records'!$B408)</f>
        <v>2018-7</v>
      </c>
      <c r="N408" s="343" t="n">
        <f aca="false">'LT records'!$H408+'LT records'!$I408</f>
        <v>150</v>
      </c>
      <c r="O408" s="326"/>
      <c r="P408" s="324"/>
      <c r="R408" s="327"/>
    </row>
    <row r="409" customFormat="false" ht="12.8" hidden="false" customHeight="false" outlineLevel="0" collapsed="false">
      <c r="B409" s="351" t="n">
        <v>43298</v>
      </c>
      <c r="C409" s="348" t="n">
        <f aca="false">YEAR('LT records'!$B409)</f>
        <v>2018</v>
      </c>
      <c r="D409" s="346" t="str">
        <f aca="false">'LT records'!$C409&amp;"-"&amp;MONTH('LT records'!$B409)</f>
        <v>2018-7</v>
      </c>
      <c r="E409" s="324" t="s">
        <v>14</v>
      </c>
      <c r="F409" s="324" t="str">
        <f aca="false">LEFT('LT records'!$E409,3)</f>
        <v>CSH</v>
      </c>
      <c r="G409" s="324" t="str">
        <f aca="false">IF(OR('LT records'!$F409="MyF", 'LT records'!$F409="DEP"),"DEP",IF('LT records'!$F409="CSH","CSH",IF('LT records'!$F409="BON","BND",IF('LT records'!$F409="Sma","MKT",IF(OR('LT records'!$F409="Val", 'LT records'!$F409="EUR"),"FCY",IF('LT records'!$F409="X-P","PP3",IF('LT records'!$F409="X-m","XAU","???")))))))</f>
        <v>CSH</v>
      </c>
      <c r="H409" s="325" t="n">
        <f aca="false">3150-335-300-50-72-100-200-71-70</f>
        <v>1952</v>
      </c>
      <c r="I409" s="340"/>
      <c r="J409" s="340"/>
      <c r="K409" s="340"/>
      <c r="L409" s="341" t="s">
        <v>502</v>
      </c>
      <c r="M409" s="350" t="str">
        <f aca="false">YEAR('LT records'!$B409)&amp;"-"&amp;MONTH('LT records'!$B409)</f>
        <v>2018-7</v>
      </c>
      <c r="N409" s="343" t="n">
        <f aca="false">'LT records'!$H409+'LT records'!$I409</f>
        <v>1952</v>
      </c>
      <c r="O409" s="326"/>
      <c r="P409" s="324"/>
      <c r="R409" s="327"/>
    </row>
    <row r="410" customFormat="false" ht="12.8" hidden="false" customHeight="false" outlineLevel="0" collapsed="false">
      <c r="B410" s="351" t="n">
        <v>43305</v>
      </c>
      <c r="C410" s="348" t="n">
        <f aca="false">YEAR('LT records'!$B410)</f>
        <v>2018</v>
      </c>
      <c r="D410" s="346" t="str">
        <f aca="false">'LT records'!$C410&amp;"-"&amp;MONTH('LT records'!$B410)</f>
        <v>2018-7</v>
      </c>
      <c r="E410" s="324" t="s">
        <v>444</v>
      </c>
      <c r="F410" s="324" t="str">
        <f aca="false">LEFT('LT records'!$E410,3)</f>
        <v>Val</v>
      </c>
      <c r="G410" s="324" t="str">
        <f aca="false">IF(OR('LT records'!$F410="MyF", 'LT records'!$F410="DEP"),"DEP",IF('LT records'!$F410="CSH","CSH",IF('LT records'!$F410="BON","BND",IF('LT records'!$F410="Sma","MKT",IF(OR('LT records'!$F410="Val", 'LT records'!$F410="EUR"),"FCY",IF('LT records'!$F410="X-P","PP3",IF('LT records'!$F410="X-m","XAU","???")))))))</f>
        <v>FCY</v>
      </c>
      <c r="H410" s="325" t="n">
        <f aca="false">50+139.01</f>
        <v>189.01</v>
      </c>
      <c r="I410" s="340"/>
      <c r="J410" s="340" t="n">
        <f aca="false">10.7+29.81</f>
        <v>40.51</v>
      </c>
      <c r="K410" s="340"/>
      <c r="L410" s="341" t="s">
        <v>503</v>
      </c>
      <c r="M410" s="350" t="str">
        <f aca="false">YEAR('LT records'!$B410)&amp;"-"&amp;MONTH('LT records'!$B410)</f>
        <v>2018-7</v>
      </c>
      <c r="N410" s="343" t="n">
        <f aca="false">'LT records'!$H410+'LT records'!$I410</f>
        <v>189.01</v>
      </c>
      <c r="O410" s="326"/>
      <c r="P410" s="324"/>
      <c r="R410" s="327"/>
    </row>
    <row r="411" customFormat="false" ht="12.8" hidden="false" customHeight="false" outlineLevel="0" collapsed="false">
      <c r="B411" s="351" t="n">
        <v>43306</v>
      </c>
      <c r="C411" s="348" t="n">
        <f aca="false">YEAR('LT records'!$B411)</f>
        <v>2018</v>
      </c>
      <c r="D411" s="346" t="str">
        <f aca="false">'LT records'!$C411&amp;"-"&amp;MONTH('LT records'!$B411)</f>
        <v>2018-7</v>
      </c>
      <c r="E411" s="324" t="s">
        <v>423</v>
      </c>
      <c r="F411" s="324" t="str">
        <f aca="false">LEFT('LT records'!$E411,3)</f>
        <v>Sma</v>
      </c>
      <c r="G411" s="324" t="str">
        <f aca="false">IF(OR('LT records'!$F411="MyF", 'LT records'!$F411="DEP"),"DEP",IF('LT records'!$F411="CSH","CSH",IF('LT records'!$F411="BON","BND",IF('LT records'!$F411="Sma","MKT",IF(OR('LT records'!$F411="Val", 'LT records'!$F411="EUR"),"FCY",IF('LT records'!$F411="X-P","PP3",IF('LT records'!$F411="X-m","XAU","???")))))))</f>
        <v>MKT</v>
      </c>
      <c r="H411" s="325" t="n">
        <v>1100</v>
      </c>
      <c r="I411" s="340"/>
      <c r="J411" s="340"/>
      <c r="K411" s="340"/>
      <c r="L411" s="341" t="s">
        <v>460</v>
      </c>
      <c r="M411" s="350" t="str">
        <f aca="false">YEAR('LT records'!$B411)&amp;"-"&amp;MONTH('LT records'!$B411)</f>
        <v>2018-7</v>
      </c>
      <c r="N411" s="343" t="n">
        <f aca="false">'LT records'!$H411+'LT records'!$I411</f>
        <v>1100</v>
      </c>
      <c r="O411" s="326"/>
      <c r="P411" s="324"/>
      <c r="R411" s="327"/>
    </row>
    <row r="412" customFormat="false" ht="12.8" hidden="false" customHeight="false" outlineLevel="0" collapsed="false">
      <c r="B412" s="351" t="n">
        <v>43306</v>
      </c>
      <c r="C412" s="348" t="n">
        <f aca="false">YEAR('LT records'!$B412)</f>
        <v>2018</v>
      </c>
      <c r="D412" s="346" t="str">
        <f aca="false">'LT records'!$C412&amp;"-"&amp;MONTH('LT records'!$B412)</f>
        <v>2018-7</v>
      </c>
      <c r="E412" s="324" t="s">
        <v>318</v>
      </c>
      <c r="F412" s="324" t="str">
        <f aca="false">LEFT('LT records'!$E412,3)</f>
        <v>X-P</v>
      </c>
      <c r="G412" s="324" t="str">
        <f aca="false">IF(OR('LT records'!$F412="MyF", 'LT records'!$F412="DEP"),"DEP",IF('LT records'!$F412="CSH","CSH",IF('LT records'!$F412="BON","BND",IF('LT records'!$F412="Sma","MKT",IF(OR('LT records'!$F412="Val", 'LT records'!$F412="EUR"),"FCY",IF('LT records'!$F412="X-P","PP3",IF('LT records'!$F412="X-m","XAU","???")))))))</f>
        <v>PP3</v>
      </c>
      <c r="H412" s="325" t="n">
        <v>300</v>
      </c>
      <c r="I412" s="340"/>
      <c r="J412" s="340"/>
      <c r="K412" s="340"/>
      <c r="L412" s="341" t="s">
        <v>459</v>
      </c>
      <c r="M412" s="350" t="str">
        <f aca="false">YEAR('LT records'!$B412)&amp;"-"&amp;MONTH('LT records'!$B412)</f>
        <v>2018-7</v>
      </c>
      <c r="N412" s="343" t="n">
        <f aca="false">'LT records'!$H412+'LT records'!$I412</f>
        <v>300</v>
      </c>
      <c r="O412" s="326"/>
      <c r="P412" s="324"/>
      <c r="R412" s="327"/>
    </row>
    <row r="413" customFormat="false" ht="12.8" hidden="false" customHeight="false" outlineLevel="0" collapsed="false">
      <c r="B413" s="351" t="n">
        <v>43307</v>
      </c>
      <c r="C413" s="348" t="n">
        <f aca="false">YEAR('LT records'!$B413)</f>
        <v>2018</v>
      </c>
      <c r="D413" s="346" t="str">
        <f aca="false">'LT records'!$C413&amp;"-"&amp;MONTH('LT records'!$B413)</f>
        <v>2018-7</v>
      </c>
      <c r="E413" s="324" t="s">
        <v>444</v>
      </c>
      <c r="F413" s="324" t="str">
        <f aca="false">LEFT('LT records'!$E413,3)</f>
        <v>Val</v>
      </c>
      <c r="G413" s="324" t="str">
        <f aca="false">IF(OR('LT records'!$F413="MyF", 'LT records'!$F413="DEP"),"DEP",IF('LT records'!$F413="CSH","CSH",IF('LT records'!$F413="BON","BND",IF('LT records'!$F413="Sma","MKT",IF(OR('LT records'!$F413="Val", 'LT records'!$F413="EUR"),"FCY",IF('LT records'!$F413="X-P","PP3",IF('LT records'!$F413="X-m","XAU","???")))))))</f>
        <v>FCY</v>
      </c>
      <c r="H413" s="325" t="n">
        <v>99.98</v>
      </c>
      <c r="I413" s="340"/>
      <c r="J413" s="340" t="n">
        <v>21.46</v>
      </c>
      <c r="K413" s="340"/>
      <c r="L413" s="341" t="s">
        <v>504</v>
      </c>
      <c r="M413" s="350" t="str">
        <f aca="false">YEAR('LT records'!$B413)&amp;"-"&amp;MONTH('LT records'!$B413)</f>
        <v>2018-7</v>
      </c>
      <c r="N413" s="343" t="n">
        <f aca="false">'LT records'!$H413+'LT records'!$I413</f>
        <v>99.98</v>
      </c>
      <c r="O413" s="326"/>
      <c r="P413" s="324"/>
      <c r="R413" s="327"/>
    </row>
    <row r="414" customFormat="false" ht="12.8" hidden="false" customHeight="false" outlineLevel="0" collapsed="false">
      <c r="B414" s="351" t="n">
        <v>43309</v>
      </c>
      <c r="C414" s="348" t="n">
        <f aca="false">YEAR('LT records'!$B414)</f>
        <v>2018</v>
      </c>
      <c r="D414" s="346" t="str">
        <f aca="false">'LT records'!$C414&amp;"-"&amp;MONTH('LT records'!$B414)</f>
        <v>2018-7</v>
      </c>
      <c r="E414" s="324" t="s">
        <v>444</v>
      </c>
      <c r="F414" s="324" t="str">
        <f aca="false">LEFT('LT records'!$E414,3)</f>
        <v>Val</v>
      </c>
      <c r="G414" s="324" t="str">
        <f aca="false">IF(OR('LT records'!$F414="MyF", 'LT records'!$F414="DEP"),"DEP",IF('LT records'!$F414="CSH","CSH",IF('LT records'!$F414="BON","BND",IF('LT records'!$F414="Sma","MKT",IF(OR('LT records'!$F414="Val", 'LT records'!$F414="EUR"),"FCY",IF('LT records'!$F414="X-P","PP3",IF('LT records'!$F414="X-m","XAU","???")))))))</f>
        <v>FCY</v>
      </c>
      <c r="H414" s="325" t="n">
        <v>0</v>
      </c>
      <c r="I414" s="340"/>
      <c r="J414" s="340"/>
      <c r="K414" s="340" t="n">
        <f aca="false">0.87</f>
        <v>0.87</v>
      </c>
      <c r="L414" s="341" t="s">
        <v>40</v>
      </c>
      <c r="M414" s="350" t="str">
        <f aca="false">YEAR('LT records'!$B414)&amp;"-"&amp;MONTH('LT records'!$B414)</f>
        <v>2018-7</v>
      </c>
      <c r="N414" s="343" t="n">
        <f aca="false">'LT records'!$H414+'LT records'!$I414</f>
        <v>0</v>
      </c>
      <c r="O414" s="326"/>
      <c r="P414" s="324"/>
      <c r="R414" s="327"/>
    </row>
    <row r="415" customFormat="false" ht="12.8" hidden="false" customHeight="false" outlineLevel="0" collapsed="false">
      <c r="B415" s="351" t="n">
        <v>43309</v>
      </c>
      <c r="C415" s="348" t="n">
        <f aca="false">YEAR('LT records'!$B415)</f>
        <v>2018</v>
      </c>
      <c r="D415" s="346" t="str">
        <f aca="false">'LT records'!$C415&amp;"-"&amp;MONTH('LT records'!$B415)</f>
        <v>2018-7</v>
      </c>
      <c r="E415" s="324" t="s">
        <v>14</v>
      </c>
      <c r="F415" s="324" t="str">
        <f aca="false">LEFT('LT records'!$E415,3)</f>
        <v>CSH</v>
      </c>
      <c r="G415" s="324" t="str">
        <f aca="false">IF(OR('LT records'!$F415="MyF", 'LT records'!$F415="DEP"),"DEP",IF('LT records'!$F415="CSH","CSH",IF('LT records'!$F415="BON","BND",IF('LT records'!$F415="Sma","MKT",IF(OR('LT records'!$F415="Val", 'LT records'!$F415="EUR"),"FCY",IF('LT records'!$F415="X-P","PP3",IF('LT records'!$F415="X-m","XAU","???")))))))</f>
        <v>CSH</v>
      </c>
      <c r="H415" s="325" t="n">
        <v>50</v>
      </c>
      <c r="I415" s="340" t="n">
        <f aca="false">3.06</f>
        <v>3.06</v>
      </c>
      <c r="J415" s="340"/>
      <c r="K415" s="340"/>
      <c r="L415" s="341" t="s">
        <v>505</v>
      </c>
      <c r="M415" s="350" t="str">
        <f aca="false">YEAR('LT records'!$B415)&amp;"-"&amp;MONTH('LT records'!$B415)</f>
        <v>2018-7</v>
      </c>
      <c r="N415" s="343" t="n">
        <f aca="false">'LT records'!$H415+'LT records'!$I415</f>
        <v>53.06</v>
      </c>
      <c r="O415" s="326"/>
      <c r="P415" s="324"/>
      <c r="R415" s="327"/>
    </row>
    <row r="416" customFormat="false" ht="12.8" hidden="false" customHeight="false" outlineLevel="0" collapsed="false">
      <c r="B416" s="351" t="n">
        <v>43314</v>
      </c>
      <c r="C416" s="348" t="n">
        <f aca="false">YEAR('LT records'!$B416)</f>
        <v>2018</v>
      </c>
      <c r="D416" s="346" t="str">
        <f aca="false">'LT records'!$C416&amp;"-"&amp;MONTH('LT records'!$B416)</f>
        <v>2018-8</v>
      </c>
      <c r="E416" s="324" t="s">
        <v>302</v>
      </c>
      <c r="F416" s="324" t="str">
        <f aca="false">LEFT('LT records'!$E416,3)</f>
        <v>DEP</v>
      </c>
      <c r="G416" s="324" t="str">
        <f aca="false">IF(OR('LT records'!$F416="MyF", 'LT records'!$F416="DEP"),"DEP",IF('LT records'!$F416="CSH","CSH",IF('LT records'!$F416="BON","BND",IF('LT records'!$F416="Sma","MKT",IF(OR('LT records'!$F416="Val", 'LT records'!$F416="EUR"),"FCY",IF('LT records'!$F416="X-P","PP3",IF('LT records'!$F416="X-m","XAU","???")))))))</f>
        <v>DEP</v>
      </c>
      <c r="H416" s="325" t="n">
        <v>-5016.44</v>
      </c>
      <c r="I416" s="340" t="n">
        <f aca="false">18.27-1.83</f>
        <v>16.44</v>
      </c>
      <c r="J416" s="340"/>
      <c r="K416" s="340"/>
      <c r="L416" s="341" t="s">
        <v>506</v>
      </c>
      <c r="M416" s="350" t="str">
        <f aca="false">YEAR('LT records'!$B416)&amp;"-"&amp;MONTH('LT records'!$B416)</f>
        <v>2018-8</v>
      </c>
      <c r="N416" s="343" t="n">
        <f aca="false">'LT records'!$H416+'LT records'!$I416</f>
        <v>-5000</v>
      </c>
      <c r="O416" s="326"/>
      <c r="P416" s="324"/>
      <c r="R416" s="327"/>
    </row>
    <row r="417" customFormat="false" ht="12.8" hidden="false" customHeight="false" outlineLevel="0" collapsed="false">
      <c r="B417" s="351" t="n">
        <v>43314</v>
      </c>
      <c r="C417" s="348" t="n">
        <f aca="false">YEAR('LT records'!$B417)</f>
        <v>2018</v>
      </c>
      <c r="D417" s="346" t="str">
        <f aca="false">'LT records'!$C417&amp;"-"&amp;MONTH('LT records'!$B417)</f>
        <v>2018-8</v>
      </c>
      <c r="E417" s="324" t="s">
        <v>14</v>
      </c>
      <c r="F417" s="324" t="str">
        <f aca="false">LEFT('LT records'!$E417,3)</f>
        <v>CSH</v>
      </c>
      <c r="G417" s="324" t="str">
        <f aca="false">IF(OR('LT records'!$F417="MyF", 'LT records'!$F417="DEP"),"DEP",IF('LT records'!$F417="CSH","CSH",IF('LT records'!$F417="BON","BND",IF('LT records'!$F417="Sma","MKT",IF(OR('LT records'!$F417="Val", 'LT records'!$F417="EUR"),"FCY",IF('LT records'!$F417="X-P","PP3",IF('LT records'!$F417="X-m","XAU","???")))))))</f>
        <v>CSH</v>
      </c>
      <c r="H417" s="325" t="n">
        <f aca="false">-5055-72-70-70-72-169-51-150-3-704-72</f>
        <v>-6488</v>
      </c>
      <c r="I417" s="340"/>
      <c r="J417" s="340"/>
      <c r="K417" s="340"/>
      <c r="L417" s="341" t="s">
        <v>507</v>
      </c>
      <c r="M417" s="350" t="str">
        <f aca="false">YEAR('LT records'!$B417)&amp;"-"&amp;MONTH('LT records'!$B417)</f>
        <v>2018-8</v>
      </c>
      <c r="N417" s="343" t="n">
        <f aca="false">'LT records'!$H417+'LT records'!$I417</f>
        <v>-6488</v>
      </c>
      <c r="O417" s="326"/>
      <c r="P417" s="324"/>
      <c r="R417" s="327"/>
    </row>
    <row r="418" customFormat="false" ht="12.8" hidden="false" customHeight="false" outlineLevel="0" collapsed="false">
      <c r="B418" s="351" t="n">
        <v>43314</v>
      </c>
      <c r="C418" s="348" t="n">
        <f aca="false">YEAR('LT records'!$B418)</f>
        <v>2018</v>
      </c>
      <c r="D418" s="346" t="str">
        <f aca="false">'LT records'!$C418&amp;"-"&amp;MONTH('LT records'!$B418)</f>
        <v>2018-8</v>
      </c>
      <c r="E418" s="324" t="s">
        <v>302</v>
      </c>
      <c r="F418" s="324" t="str">
        <f aca="false">LEFT('LT records'!$E418,3)</f>
        <v>DEP</v>
      </c>
      <c r="G418" s="324" t="str">
        <f aca="false">IF(OR('LT records'!$F418="MyF", 'LT records'!$F418="DEP"),"DEP",IF('LT records'!$F418="CSH","CSH",IF('LT records'!$F418="BON","BND",IF('LT records'!$F418="Sma","MKT",IF(OR('LT records'!$F418="Val", 'LT records'!$F418="EUR"),"FCY",IF('LT records'!$F418="X-P","PP3",IF('LT records'!$F418="X-m","XAU","???")))))))</f>
        <v>DEP</v>
      </c>
      <c r="H418" s="325" t="n">
        <v>10000</v>
      </c>
      <c r="I418" s="340"/>
      <c r="J418" s="340"/>
      <c r="K418" s="340"/>
      <c r="L418" s="341" t="s">
        <v>508</v>
      </c>
      <c r="M418" s="350" t="str">
        <f aca="false">YEAR('LT records'!$B418)&amp;"-"&amp;MONTH('LT records'!$B418)</f>
        <v>2018-8</v>
      </c>
      <c r="N418" s="343" t="n">
        <f aca="false">'LT records'!$H418+'LT records'!$I418</f>
        <v>10000</v>
      </c>
      <c r="O418" s="326"/>
      <c r="P418" s="324"/>
      <c r="R418" s="327"/>
    </row>
    <row r="419" customFormat="false" ht="12.8" hidden="false" customHeight="false" outlineLevel="0" collapsed="false">
      <c r="B419" s="351" t="n">
        <v>43314</v>
      </c>
      <c r="C419" s="348" t="n">
        <f aca="false">YEAR('LT records'!$B419)</f>
        <v>2018</v>
      </c>
      <c r="D419" s="346" t="str">
        <f aca="false">'LT records'!$C419&amp;"-"&amp;MONTH('LT records'!$B419)</f>
        <v>2018-8</v>
      </c>
      <c r="E419" s="324" t="s">
        <v>444</v>
      </c>
      <c r="F419" s="324" t="str">
        <f aca="false">LEFT('LT records'!$E419,3)</f>
        <v>Val</v>
      </c>
      <c r="G419" s="324" t="str">
        <f aca="false">IF(OR('LT records'!$F419="MyF", 'LT records'!$F419="DEP"),"DEP",IF('LT records'!$F419="CSH","CSH",IF('LT records'!$F419="BON","BND",IF('LT records'!$F419="Sma","MKT",IF(OR('LT records'!$F419="Val", 'LT records'!$F419="EUR"),"FCY",IF('LT records'!$F419="X-P","PP3",IF('LT records'!$F419="X-m","XAU","???")))))))</f>
        <v>FCY</v>
      </c>
      <c r="H419" s="325" t="n">
        <v>0</v>
      </c>
      <c r="I419" s="340"/>
      <c r="J419" s="340" t="n">
        <v>-800</v>
      </c>
      <c r="K419" s="340"/>
      <c r="L419" s="341" t="s">
        <v>509</v>
      </c>
      <c r="M419" s="350" t="str">
        <f aca="false">YEAR('LT records'!$B419)&amp;"-"&amp;MONTH('LT records'!$B419)</f>
        <v>2018-8</v>
      </c>
      <c r="N419" s="343" t="n">
        <f aca="false">'LT records'!$H419+'LT records'!$I419</f>
        <v>0</v>
      </c>
      <c r="O419" s="326"/>
      <c r="P419" s="324"/>
      <c r="R419" s="327"/>
    </row>
    <row r="420" customFormat="false" ht="12.8" hidden="false" customHeight="false" outlineLevel="0" collapsed="false">
      <c r="B420" s="351" t="n">
        <v>43314</v>
      </c>
      <c r="C420" s="348" t="n">
        <f aca="false">YEAR('LT records'!$B420)</f>
        <v>2018</v>
      </c>
      <c r="D420" s="346" t="str">
        <f aca="false">'LT records'!$C420&amp;"-"&amp;MONTH('LT records'!$B420)</f>
        <v>2018-8</v>
      </c>
      <c r="E420" s="324" t="s">
        <v>510</v>
      </c>
      <c r="F420" s="324" t="str">
        <f aca="false">LEFT('LT records'!$E420,3)</f>
        <v>EUR</v>
      </c>
      <c r="G420" s="324" t="str">
        <f aca="false">IF(OR('LT records'!$F420="MyF", 'LT records'!$F420="DEP"),"DEP",IF('LT records'!$F420="CSH","CSH",IF('LT records'!$F420="BON","BND",IF('LT records'!$F420="Sma","MKT",IF(OR('LT records'!$F420="Val", 'LT records'!$F420="EUR"),"FCY",IF('LT records'!$F420="X-P","PP3",IF('LT records'!$F420="X-m","XAU","???")))))))</f>
        <v>FCY</v>
      </c>
      <c r="H420" s="325" t="n">
        <v>0</v>
      </c>
      <c r="I420" s="340"/>
      <c r="J420" s="340" t="n">
        <v>800</v>
      </c>
      <c r="K420" s="340"/>
      <c r="L420" s="341" t="s">
        <v>511</v>
      </c>
      <c r="M420" s="350" t="str">
        <f aca="false">YEAR('LT records'!$B420)&amp;"-"&amp;MONTH('LT records'!$B420)</f>
        <v>2018-8</v>
      </c>
      <c r="N420" s="343" t="n">
        <f aca="false">'LT records'!$H420+'LT records'!$I420</f>
        <v>0</v>
      </c>
      <c r="O420" s="326"/>
      <c r="P420" s="324"/>
      <c r="R420" s="327"/>
    </row>
    <row r="421" customFormat="false" ht="12.8" hidden="false" customHeight="false" outlineLevel="0" collapsed="false">
      <c r="B421" s="351" t="n">
        <v>43332</v>
      </c>
      <c r="C421" s="348" t="n">
        <f aca="false">YEAR('LT records'!$B421)</f>
        <v>2018</v>
      </c>
      <c r="D421" s="346" t="str">
        <f aca="false">'LT records'!$C421&amp;"-"&amp;MONTH('LT records'!$B421)</f>
        <v>2018-8</v>
      </c>
      <c r="E421" s="324" t="s">
        <v>318</v>
      </c>
      <c r="F421" s="324" t="str">
        <f aca="false">LEFT('LT records'!$E421,3)</f>
        <v>X-P</v>
      </c>
      <c r="G421" s="324" t="str">
        <f aca="false">IF(OR('LT records'!$F421="MyF", 'LT records'!$F421="DEP"),"DEP",IF('LT records'!$F421="CSH","CSH",IF('LT records'!$F421="BON","BND",IF('LT records'!$F421="Sma","MKT",IF(OR('LT records'!$F421="Val", 'LT records'!$F421="EUR"),"FCY",IF('LT records'!$F421="X-P","PP3",IF('LT records'!$F421="X-m","XAU","???")))))))</f>
        <v>PP3</v>
      </c>
      <c r="H421" s="325" t="n">
        <v>150</v>
      </c>
      <c r="I421" s="340"/>
      <c r="J421" s="340"/>
      <c r="K421" s="340"/>
      <c r="L421" s="341" t="s">
        <v>443</v>
      </c>
      <c r="M421" s="350" t="str">
        <f aca="false">YEAR('LT records'!$B421)&amp;"-"&amp;MONTH('LT records'!$B421)</f>
        <v>2018-8</v>
      </c>
      <c r="N421" s="343" t="n">
        <f aca="false">'LT records'!$H421+'LT records'!$I421</f>
        <v>150</v>
      </c>
      <c r="O421" s="326"/>
      <c r="P421" s="324"/>
      <c r="R421" s="327"/>
    </row>
    <row r="422" customFormat="false" ht="12.8" hidden="false" customHeight="false" outlineLevel="0" collapsed="false">
      <c r="B422" s="351" t="n">
        <v>43333</v>
      </c>
      <c r="C422" s="348" t="n">
        <f aca="false">YEAR('LT records'!$B422)</f>
        <v>2018</v>
      </c>
      <c r="D422" s="346" t="str">
        <f aca="false">'LT records'!$C422&amp;"-"&amp;MONTH('LT records'!$B422)</f>
        <v>2018-8</v>
      </c>
      <c r="E422" s="324" t="s">
        <v>14</v>
      </c>
      <c r="F422" s="324" t="str">
        <f aca="false">LEFT('LT records'!$E422,3)</f>
        <v>CSH</v>
      </c>
      <c r="G422" s="324" t="str">
        <f aca="false">IF(OR('LT records'!$F422="MyF", 'LT records'!$F422="DEP"),"DEP",IF('LT records'!$F422="CSH","CSH",IF('LT records'!$F422="BON","BND",IF('LT records'!$F422="Sma","MKT",IF(OR('LT records'!$F422="Val", 'LT records'!$F422="EUR"),"FCY",IF('LT records'!$F422="X-P","PP3",IF('LT records'!$F422="X-m","XAU","???")))))))</f>
        <v>CSH</v>
      </c>
      <c r="H422" s="325" t="n">
        <f aca="false">2980.41</f>
        <v>2980.41</v>
      </c>
      <c r="I422" s="340"/>
      <c r="J422" s="340"/>
      <c r="K422" s="340"/>
      <c r="L422" s="341" t="s">
        <v>56</v>
      </c>
      <c r="M422" s="350" t="str">
        <f aca="false">YEAR('LT records'!$B422)&amp;"-"&amp;MONTH('LT records'!$B422)</f>
        <v>2018-8</v>
      </c>
      <c r="N422" s="343" t="n">
        <f aca="false">'LT records'!$H422+'LT records'!$I422</f>
        <v>2980.41</v>
      </c>
      <c r="O422" s="326"/>
      <c r="P422" s="324"/>
      <c r="R422" s="327"/>
    </row>
    <row r="423" customFormat="false" ht="12.8" hidden="false" customHeight="false" outlineLevel="0" collapsed="false">
      <c r="B423" s="351" t="n">
        <v>43334</v>
      </c>
      <c r="C423" s="348" t="n">
        <f aca="false">YEAR('LT records'!$B423)</f>
        <v>2018</v>
      </c>
      <c r="D423" s="346" t="str">
        <f aca="false">'LT records'!$C423&amp;"-"&amp;MONTH('LT records'!$B423)</f>
        <v>2018-8</v>
      </c>
      <c r="E423" s="324" t="s">
        <v>14</v>
      </c>
      <c r="F423" s="324" t="str">
        <f aca="false">LEFT('LT records'!$E423,3)</f>
        <v>CSH</v>
      </c>
      <c r="G423" s="324" t="str">
        <f aca="false">IF(OR('LT records'!$F423="MyF", 'LT records'!$F423="DEP"),"DEP",IF('LT records'!$F423="CSH","CSH",IF('LT records'!$F423="BON","BND",IF('LT records'!$F423="Sma","MKT",IF(OR('LT records'!$F423="Val", 'LT records'!$F423="EUR"),"FCY",IF('LT records'!$F423="X-P","PP3",IF('LT records'!$F423="X-m","XAU","???")))))))</f>
        <v>CSH</v>
      </c>
      <c r="H423" s="325" t="n">
        <v>-50</v>
      </c>
      <c r="I423" s="340"/>
      <c r="J423" s="340"/>
      <c r="K423" s="340"/>
      <c r="L423" s="341" t="s">
        <v>474</v>
      </c>
      <c r="M423" s="350" t="str">
        <f aca="false">YEAR('LT records'!$B423)&amp;"-"&amp;MONTH('LT records'!$B423)</f>
        <v>2018-8</v>
      </c>
      <c r="N423" s="343" t="n">
        <f aca="false">'LT records'!$H423+'LT records'!$I423</f>
        <v>-50</v>
      </c>
      <c r="O423" s="326"/>
      <c r="P423" s="324"/>
      <c r="R423" s="327"/>
    </row>
    <row r="424" customFormat="false" ht="12.8" hidden="false" customHeight="false" outlineLevel="0" collapsed="false">
      <c r="B424" s="351" t="n">
        <v>43334</v>
      </c>
      <c r="C424" s="348" t="n">
        <f aca="false">YEAR('LT records'!$B424)</f>
        <v>2018</v>
      </c>
      <c r="D424" s="346" t="str">
        <f aca="false">'LT records'!$C424&amp;"-"&amp;MONTH('LT records'!$B424)</f>
        <v>2018-8</v>
      </c>
      <c r="E424" s="324" t="s">
        <v>444</v>
      </c>
      <c r="F424" s="324" t="str">
        <f aca="false">LEFT('LT records'!$E424,3)</f>
        <v>Val</v>
      </c>
      <c r="G424" s="324" t="str">
        <f aca="false">IF(OR('LT records'!$F424="MyF", 'LT records'!$F424="DEP"),"DEP",IF('LT records'!$F424="CSH","CSH",IF('LT records'!$F424="BON","BND",IF('LT records'!$F424="Sma","MKT",IF(OR('LT records'!$F424="Val", 'LT records'!$F424="EUR"),"FCY",IF('LT records'!$F424="X-P","PP3",IF('LT records'!$F424="X-m","XAU","???")))))))</f>
        <v>FCY</v>
      </c>
      <c r="H424" s="325" t="n">
        <v>50.01</v>
      </c>
      <c r="I424" s="340"/>
      <c r="J424" s="340" t="n">
        <v>10.71</v>
      </c>
      <c r="K424" s="340"/>
      <c r="L424" s="341" t="s">
        <v>512</v>
      </c>
      <c r="M424" s="350" t="str">
        <f aca="false">YEAR('LT records'!$B424)&amp;"-"&amp;MONTH('LT records'!$B424)</f>
        <v>2018-8</v>
      </c>
      <c r="N424" s="343" t="n">
        <f aca="false">'LT records'!$H424+'LT records'!$I424</f>
        <v>50.01</v>
      </c>
      <c r="O424" s="326"/>
      <c r="P424" s="324"/>
      <c r="R424" s="327"/>
    </row>
    <row r="425" customFormat="false" ht="12.8" hidden="false" customHeight="false" outlineLevel="0" collapsed="false">
      <c r="B425" s="351" t="n">
        <v>43337</v>
      </c>
      <c r="C425" s="348" t="n">
        <f aca="false">YEAR('LT records'!$B425)</f>
        <v>2018</v>
      </c>
      <c r="D425" s="346" t="str">
        <f aca="false">'LT records'!$C425&amp;"-"&amp;MONTH('LT records'!$B425)</f>
        <v>2018-8</v>
      </c>
      <c r="E425" s="324" t="s">
        <v>423</v>
      </c>
      <c r="F425" s="324" t="str">
        <f aca="false">LEFT('LT records'!$E425,3)</f>
        <v>Sma</v>
      </c>
      <c r="G425" s="324" t="str">
        <f aca="false">IF(OR('LT records'!$F425="MyF", 'LT records'!$F425="DEP"),"DEP",IF('LT records'!$F425="CSH","CSH",IF('LT records'!$F425="BON","BND",IF('LT records'!$F425="Sma","MKT",IF(OR('LT records'!$F425="Val", 'LT records'!$F425="EUR"),"FCY",IF('LT records'!$F425="X-P","PP3",IF('LT records'!$F425="X-m","XAU","???")))))))</f>
        <v>MKT</v>
      </c>
      <c r="H425" s="325" t="n">
        <v>1100</v>
      </c>
      <c r="I425" s="340"/>
      <c r="J425" s="340"/>
      <c r="K425" s="340"/>
      <c r="L425" s="341" t="s">
        <v>460</v>
      </c>
      <c r="M425" s="350" t="str">
        <f aca="false">YEAR('LT records'!$B425)&amp;"-"&amp;MONTH('LT records'!$B425)</f>
        <v>2018-8</v>
      </c>
      <c r="N425" s="343" t="n">
        <f aca="false">'LT records'!$H425+'LT records'!$I425</f>
        <v>1100</v>
      </c>
      <c r="O425" s="326"/>
      <c r="P425" s="324"/>
      <c r="R425" s="327"/>
    </row>
    <row r="426" customFormat="false" ht="12.8" hidden="false" customHeight="false" outlineLevel="0" collapsed="false">
      <c r="B426" s="351" t="n">
        <v>43337</v>
      </c>
      <c r="C426" s="348" t="n">
        <f aca="false">YEAR('LT records'!$B426)</f>
        <v>2018</v>
      </c>
      <c r="D426" s="346" t="str">
        <f aca="false">'LT records'!$C426&amp;"-"&amp;MONTH('LT records'!$B426)</f>
        <v>2018-8</v>
      </c>
      <c r="E426" s="324" t="s">
        <v>318</v>
      </c>
      <c r="F426" s="324" t="str">
        <f aca="false">LEFT('LT records'!$E426,3)</f>
        <v>X-P</v>
      </c>
      <c r="G426" s="324" t="str">
        <f aca="false">IF(OR('LT records'!$F426="MyF", 'LT records'!$F426="DEP"),"DEP",IF('LT records'!$F426="CSH","CSH",IF('LT records'!$F426="BON","BND",IF('LT records'!$F426="Sma","MKT",IF(OR('LT records'!$F426="Val", 'LT records'!$F426="EUR"),"FCY",IF('LT records'!$F426="X-P","PP3",IF('LT records'!$F426="X-m","XAU","???")))))))</f>
        <v>PP3</v>
      </c>
      <c r="H426" s="325" t="n">
        <v>300</v>
      </c>
      <c r="I426" s="340"/>
      <c r="J426" s="340"/>
      <c r="K426" s="340"/>
      <c r="L426" s="341" t="s">
        <v>459</v>
      </c>
      <c r="M426" s="350" t="str">
        <f aca="false">YEAR('LT records'!$B426)&amp;"-"&amp;MONTH('LT records'!$B426)</f>
        <v>2018-8</v>
      </c>
      <c r="N426" s="343" t="n">
        <f aca="false">'LT records'!$H426+'LT records'!$I426</f>
        <v>300</v>
      </c>
      <c r="O426" s="326"/>
      <c r="P426" s="324"/>
      <c r="R426" s="327"/>
    </row>
    <row r="427" customFormat="false" ht="12.8" hidden="false" customHeight="false" outlineLevel="0" collapsed="false">
      <c r="B427" s="351" t="n">
        <v>43340</v>
      </c>
      <c r="C427" s="348" t="n">
        <f aca="false">YEAR('LT records'!$B427)</f>
        <v>2018</v>
      </c>
      <c r="D427" s="346" t="str">
        <f aca="false">'LT records'!$C427&amp;"-"&amp;MONTH('LT records'!$B427)</f>
        <v>2018-8</v>
      </c>
      <c r="E427" s="324" t="s">
        <v>14</v>
      </c>
      <c r="F427" s="324" t="str">
        <f aca="false">LEFT('LT records'!$E427,3)</f>
        <v>CSH</v>
      </c>
      <c r="G427" s="324" t="str">
        <f aca="false">IF(OR('LT records'!$F427="MyF", 'LT records'!$F427="DEP"),"DEP",IF('LT records'!$F427="CSH","CSH",IF('LT records'!$F427="BON","BND",IF('LT records'!$F427="Sma","MKT",IF(OR('LT records'!$F427="Val", 'LT records'!$F427="EUR"),"FCY",IF('LT records'!$F427="X-P","PP3",IF('LT records'!$F427="X-m","XAU","???")))))))</f>
        <v>CSH</v>
      </c>
      <c r="H427" s="325" t="n">
        <f aca="false">-283+50</f>
        <v>-233</v>
      </c>
      <c r="I427" s="340" t="n">
        <v>1.33</v>
      </c>
      <c r="J427" s="340"/>
      <c r="K427" s="340"/>
      <c r="L427" s="341" t="s">
        <v>513</v>
      </c>
      <c r="M427" s="350" t="str">
        <f aca="false">YEAR('LT records'!$B427)&amp;"-"&amp;MONTH('LT records'!$B427)</f>
        <v>2018-8</v>
      </c>
      <c r="N427" s="343" t="n">
        <f aca="false">'LT records'!$H427+'LT records'!$I427</f>
        <v>-231.67</v>
      </c>
      <c r="O427" s="326"/>
      <c r="P427" s="324"/>
      <c r="R427" s="327"/>
    </row>
    <row r="428" customFormat="false" ht="12.8" hidden="false" customHeight="false" outlineLevel="0" collapsed="false">
      <c r="B428" s="351" t="n">
        <v>43340</v>
      </c>
      <c r="C428" s="348" t="n">
        <f aca="false">YEAR('LT records'!$B428)</f>
        <v>2018</v>
      </c>
      <c r="D428" s="346" t="str">
        <f aca="false">'LT records'!$C428&amp;"-"&amp;MONTH('LT records'!$B428)</f>
        <v>2018-8</v>
      </c>
      <c r="E428" s="324" t="s">
        <v>444</v>
      </c>
      <c r="F428" s="324" t="str">
        <f aca="false">LEFT('LT records'!$E428,3)</f>
        <v>Val</v>
      </c>
      <c r="G428" s="324" t="str">
        <f aca="false">IF(OR('LT records'!$F428="MyF", 'LT records'!$F428="DEP"),"DEP",IF('LT records'!$F428="CSH","CSH",IF('LT records'!$F428="BON","BND",IF('LT records'!$F428="Sma","MKT",IF(OR('LT records'!$F428="Val", 'LT records'!$F428="EUR"),"FCY",IF('LT records'!$F428="X-P","PP3",IF('LT records'!$F428="X-m","XAU","???")))))))</f>
        <v>FCY</v>
      </c>
      <c r="H428" s="325" t="n">
        <v>0</v>
      </c>
      <c r="I428" s="340"/>
      <c r="J428" s="340"/>
      <c r="K428" s="340" t="n">
        <v>0.93</v>
      </c>
      <c r="L428" s="341" t="s">
        <v>40</v>
      </c>
      <c r="M428" s="350" t="str">
        <f aca="false">YEAR('LT records'!$B428)&amp;"-"&amp;MONTH('LT records'!$B428)</f>
        <v>2018-8</v>
      </c>
      <c r="N428" s="343" t="n">
        <f aca="false">'LT records'!$H428+'LT records'!$I428</f>
        <v>0</v>
      </c>
      <c r="O428" s="326"/>
      <c r="P428" s="324"/>
      <c r="R428" s="327"/>
    </row>
    <row r="429" customFormat="false" ht="12.8" hidden="false" customHeight="false" outlineLevel="0" collapsed="false">
      <c r="B429" s="351" t="n">
        <v>43347</v>
      </c>
      <c r="C429" s="348" t="n">
        <f aca="false">YEAR('LT records'!$B429)</f>
        <v>2018</v>
      </c>
      <c r="D429" s="346" t="str">
        <f aca="false">'LT records'!$C429&amp;"-"&amp;MONTH('LT records'!$B429)</f>
        <v>2018-9</v>
      </c>
      <c r="E429" s="324" t="s">
        <v>304</v>
      </c>
      <c r="F429" s="324" t="str">
        <f aca="false">LEFT('LT records'!$E429,3)</f>
        <v>DEP</v>
      </c>
      <c r="G429" s="324" t="str">
        <f aca="false">IF(OR('LT records'!$F429="MyF", 'LT records'!$F429="DEP"),"DEP",IF('LT records'!$F429="CSH","CSH",IF('LT records'!$F429="BON","BND",IF('LT records'!$F429="Sma","MKT",IF(OR('LT records'!$F429="Val", 'LT records'!$F429="EUR"),"FCY",IF('LT records'!$F429="X-P","PP3",IF('LT records'!$F429="X-m","XAU","???")))))))</f>
        <v>DEP</v>
      </c>
      <c r="H429" s="325" t="n">
        <v>-32.89</v>
      </c>
      <c r="I429" s="340" t="n">
        <v>32.89</v>
      </c>
      <c r="J429" s="340"/>
      <c r="K429" s="340"/>
      <c r="L429" s="341" t="s">
        <v>514</v>
      </c>
      <c r="M429" s="350" t="str">
        <f aca="false">YEAR('LT records'!$B429)&amp;"-"&amp;MONTH('LT records'!$B429)</f>
        <v>2018-9</v>
      </c>
      <c r="N429" s="343" t="n">
        <f aca="false">'LT records'!$H429+'LT records'!$I429</f>
        <v>0</v>
      </c>
      <c r="O429" s="326"/>
      <c r="P429" s="324"/>
      <c r="R429" s="327"/>
    </row>
    <row r="430" customFormat="false" ht="12.8" hidden="false" customHeight="false" outlineLevel="0" collapsed="false">
      <c r="B430" s="351" t="n">
        <v>43347</v>
      </c>
      <c r="C430" s="348" t="n">
        <f aca="false">YEAR('LT records'!$B430)</f>
        <v>2018</v>
      </c>
      <c r="D430" s="346" t="str">
        <f aca="false">'LT records'!$C430&amp;"-"&amp;MONTH('LT records'!$B430)</f>
        <v>2018-9</v>
      </c>
      <c r="E430" s="324" t="s">
        <v>14</v>
      </c>
      <c r="F430" s="324" t="str">
        <f aca="false">LEFT('LT records'!$E430,3)</f>
        <v>CSH</v>
      </c>
      <c r="G430" s="324" t="str">
        <f aca="false">IF(OR('LT records'!$F430="MyF", 'LT records'!$F430="DEP"),"DEP",IF('LT records'!$F430="CSH","CSH",IF('LT records'!$F430="BON","BND",IF('LT records'!$F430="Sma","MKT",IF(OR('LT records'!$F430="Val", 'LT records'!$F430="EUR"),"FCY",IF('LT records'!$F430="X-P","PP3",IF('LT records'!$F430="X-m","XAU","???")))))))</f>
        <v>CSH</v>
      </c>
      <c r="H430" s="325" t="n">
        <v>32.89</v>
      </c>
      <c r="I430" s="340"/>
      <c r="J430" s="340"/>
      <c r="K430" s="340"/>
      <c r="L430" s="341" t="s">
        <v>515</v>
      </c>
      <c r="M430" s="350" t="str">
        <f aca="false">YEAR('LT records'!$B430)&amp;"-"&amp;MONTH('LT records'!$B430)</f>
        <v>2018-9</v>
      </c>
      <c r="N430" s="343" t="n">
        <f aca="false">'LT records'!$H430+'LT records'!$I430</f>
        <v>32.89</v>
      </c>
      <c r="O430" s="326"/>
      <c r="P430" s="324"/>
      <c r="R430" s="327"/>
    </row>
    <row r="431" customFormat="false" ht="12.8" hidden="false" customHeight="false" outlineLevel="0" collapsed="false">
      <c r="B431" s="351" t="n">
        <v>43347</v>
      </c>
      <c r="C431" s="348" t="n">
        <f aca="false">YEAR('LT records'!$B431)</f>
        <v>2018</v>
      </c>
      <c r="D431" s="346" t="str">
        <f aca="false">'LT records'!$C431&amp;"-"&amp;MONTH('LT records'!$B431)</f>
        <v>2018-9</v>
      </c>
      <c r="E431" s="324" t="s">
        <v>444</v>
      </c>
      <c r="F431" s="324" t="str">
        <f aca="false">LEFT('LT records'!$E431,3)</f>
        <v>Val</v>
      </c>
      <c r="G431" s="324" t="str">
        <f aca="false">IF(OR('LT records'!$F431="MyF", 'LT records'!$F431="DEP"),"DEP",IF('LT records'!$F431="CSH","CSH",IF('LT records'!$F431="BON","BND",IF('LT records'!$F431="Sma","MKT",IF(OR('LT records'!$F431="Val", 'LT records'!$F431="EUR"),"FCY",IF('LT records'!$F431="X-P","PP3",IF('LT records'!$F431="X-m","XAU","???")))))))</f>
        <v>FCY</v>
      </c>
      <c r="H431" s="325" t="n">
        <v>0</v>
      </c>
      <c r="I431" s="340"/>
      <c r="J431" s="340" t="n">
        <v>-800</v>
      </c>
      <c r="K431" s="340"/>
      <c r="L431" s="341" t="s">
        <v>516</v>
      </c>
      <c r="M431" s="350" t="str">
        <f aca="false">YEAR('LT records'!$B431)&amp;"-"&amp;MONTH('LT records'!$B431)</f>
        <v>2018-9</v>
      </c>
      <c r="N431" s="343" t="n">
        <f aca="false">'LT records'!$H431+'LT records'!$I431</f>
        <v>0</v>
      </c>
      <c r="O431" s="326"/>
      <c r="P431" s="324"/>
      <c r="R431" s="327"/>
    </row>
    <row r="432" customFormat="false" ht="12.8" hidden="false" customHeight="false" outlineLevel="0" collapsed="false">
      <c r="B432" s="351" t="n">
        <v>43347</v>
      </c>
      <c r="C432" s="348" t="n">
        <f aca="false">YEAR('LT records'!$B432)</f>
        <v>2018</v>
      </c>
      <c r="D432" s="346" t="str">
        <f aca="false">'LT records'!$C432&amp;"-"&amp;MONTH('LT records'!$B432)</f>
        <v>2018-9</v>
      </c>
      <c r="E432" s="324" t="s">
        <v>517</v>
      </c>
      <c r="F432" s="324" t="str">
        <f aca="false">LEFT('LT records'!$E432,3)</f>
        <v>EUR</v>
      </c>
      <c r="G432" s="324" t="str">
        <f aca="false">IF(OR('LT records'!$F432="MyF", 'LT records'!$F432="DEP"),"DEP",IF('LT records'!$F432="CSH","CSH",IF('LT records'!$F432="BON","BND",IF('LT records'!$F432="Sma","MKT",IF(OR('LT records'!$F432="Val", 'LT records'!$F432="EUR"),"FCY",IF('LT records'!$F432="X-P","PP3",IF('LT records'!$F432="X-m","XAU","???")))))))</f>
        <v>FCY</v>
      </c>
      <c r="H432" s="325" t="n">
        <v>0</v>
      </c>
      <c r="I432" s="340"/>
      <c r="J432" s="340" t="n">
        <v>800</v>
      </c>
      <c r="K432" s="340"/>
      <c r="L432" s="341" t="s">
        <v>449</v>
      </c>
      <c r="M432" s="350" t="str">
        <f aca="false">YEAR('LT records'!$B432)&amp;"-"&amp;MONTH('LT records'!$B432)</f>
        <v>2018-9</v>
      </c>
      <c r="N432" s="343" t="n">
        <f aca="false">'LT records'!$H432+'LT records'!$I432</f>
        <v>0</v>
      </c>
      <c r="O432" s="326"/>
      <c r="P432" s="324"/>
      <c r="R432" s="327"/>
    </row>
    <row r="433" customFormat="false" ht="12.8" hidden="false" customHeight="false" outlineLevel="0" collapsed="false">
      <c r="B433" s="351" t="n">
        <v>43362</v>
      </c>
      <c r="C433" s="348" t="n">
        <f aca="false">YEAR('LT records'!$B433)</f>
        <v>2018</v>
      </c>
      <c r="D433" s="346" t="str">
        <f aca="false">'LT records'!$C433&amp;"-"&amp;MONTH('LT records'!$B433)</f>
        <v>2018-9</v>
      </c>
      <c r="E433" s="324" t="s">
        <v>14</v>
      </c>
      <c r="F433" s="324" t="str">
        <f aca="false">LEFT('LT records'!$E433,3)</f>
        <v>CSH</v>
      </c>
      <c r="G433" s="324" t="str">
        <f aca="false">IF(OR('LT records'!$F433="MyF", 'LT records'!$F433="DEP"),"DEP",IF('LT records'!$F433="CSH","CSH",IF('LT records'!$F433="BON","BND",IF('LT records'!$F433="Sma","MKT",IF(OR('LT records'!$F433="Val", 'LT records'!$F433="EUR"),"FCY",IF('LT records'!$F433="X-P","PP3",IF('LT records'!$F433="X-m","XAU","???")))))))</f>
        <v>CSH</v>
      </c>
      <c r="H433" s="325" t="n">
        <f aca="false">-1500-75</f>
        <v>-1575</v>
      </c>
      <c r="I433" s="340"/>
      <c r="J433" s="340"/>
      <c r="K433" s="340"/>
      <c r="L433" s="341" t="s">
        <v>518</v>
      </c>
      <c r="M433" s="350" t="str">
        <f aca="false">YEAR('LT records'!$B433)&amp;"-"&amp;MONTH('LT records'!$B433)</f>
        <v>2018-9</v>
      </c>
      <c r="N433" s="343" t="n">
        <f aca="false">'LT records'!$H433+'LT records'!$I433</f>
        <v>-1575</v>
      </c>
      <c r="O433" s="326"/>
      <c r="P433" s="324"/>
      <c r="R433" s="327"/>
    </row>
    <row r="434" customFormat="false" ht="12.8" hidden="false" customHeight="false" outlineLevel="0" collapsed="false">
      <c r="B434" s="351" t="n">
        <v>43363</v>
      </c>
      <c r="C434" s="348" t="n">
        <f aca="false">YEAR('LT records'!$B434)</f>
        <v>2018</v>
      </c>
      <c r="D434" s="346" t="str">
        <f aca="false">'LT records'!$C434&amp;"-"&amp;MONTH('LT records'!$B434)</f>
        <v>2018-9</v>
      </c>
      <c r="E434" s="324" t="s">
        <v>318</v>
      </c>
      <c r="F434" s="324" t="str">
        <f aca="false">LEFT('LT records'!$E434,3)</f>
        <v>X-P</v>
      </c>
      <c r="G434" s="324" t="str">
        <f aca="false">IF(OR('LT records'!$F434="MyF", 'LT records'!$F434="DEP"),"DEP",IF('LT records'!$F434="CSH","CSH",IF('LT records'!$F434="BON","BND",IF('LT records'!$F434="Sma","MKT",IF(OR('LT records'!$F434="Val", 'LT records'!$F434="EUR"),"FCY",IF('LT records'!$F434="X-P","PP3",IF('LT records'!$F434="X-m","XAU","???")))))))</f>
        <v>PP3</v>
      </c>
      <c r="H434" s="325" t="n">
        <v>150</v>
      </c>
      <c r="I434" s="340"/>
      <c r="J434" s="340"/>
      <c r="K434" s="340"/>
      <c r="L434" s="341" t="s">
        <v>443</v>
      </c>
      <c r="M434" s="350" t="str">
        <f aca="false">YEAR('LT records'!$B434)&amp;"-"&amp;MONTH('LT records'!$B434)</f>
        <v>2018-9</v>
      </c>
      <c r="N434" s="343" t="n">
        <f aca="false">'LT records'!$H434+'LT records'!$I434</f>
        <v>150</v>
      </c>
      <c r="O434" s="326"/>
      <c r="P434" s="324"/>
      <c r="R434" s="327"/>
    </row>
    <row r="435" customFormat="false" ht="12.8" hidden="false" customHeight="false" outlineLevel="0" collapsed="false">
      <c r="B435" s="351" t="n">
        <v>43364</v>
      </c>
      <c r="C435" s="348" t="n">
        <f aca="false">YEAR('LT records'!$B435)</f>
        <v>2018</v>
      </c>
      <c r="D435" s="346" t="str">
        <f aca="false">'LT records'!$C435&amp;"-"&amp;MONTH('LT records'!$B435)</f>
        <v>2018-9</v>
      </c>
      <c r="E435" s="324" t="s">
        <v>367</v>
      </c>
      <c r="F435" s="324" t="str">
        <f aca="false">LEFT('LT records'!$E435,3)</f>
        <v>MyF</v>
      </c>
      <c r="G435" s="324" t="str">
        <f aca="false">IF(OR('LT records'!$F435="MyF", 'LT records'!$F435="DEP"),"DEP",IF('LT records'!$F435="CSH","CSH",IF('LT records'!$F435="BON","BND",IF('LT records'!$F435="Sma","MKT",IF(OR('LT records'!$F435="Val", 'LT records'!$F435="EUR"),"FCY",IF('LT records'!$F435="X-P","PP3",IF('LT records'!$F435="X-m","XAU","???")))))))</f>
        <v>DEP</v>
      </c>
      <c r="H435" s="325" t="n">
        <v>-10133.12</v>
      </c>
      <c r="I435" s="340" t="n">
        <f aca="false">86.17-8.62</f>
        <v>77.55</v>
      </c>
      <c r="J435" s="340"/>
      <c r="K435" s="340"/>
      <c r="L435" s="341" t="s">
        <v>519</v>
      </c>
      <c r="M435" s="350" t="str">
        <f aca="false">YEAR('LT records'!$B435)&amp;"-"&amp;MONTH('LT records'!$B435)</f>
        <v>2018-9</v>
      </c>
      <c r="N435" s="343" t="n">
        <f aca="false">'LT records'!$H435+'LT records'!$I435</f>
        <v>-10055.57</v>
      </c>
      <c r="O435" s="326"/>
      <c r="P435" s="324"/>
      <c r="R435" s="327"/>
    </row>
    <row r="436" customFormat="false" ht="12.8" hidden="false" customHeight="false" outlineLevel="0" collapsed="false">
      <c r="B436" s="351" t="n">
        <v>43364</v>
      </c>
      <c r="C436" s="348" t="n">
        <f aca="false">YEAR('LT records'!$B436)</f>
        <v>2018</v>
      </c>
      <c r="D436" s="346" t="str">
        <f aca="false">'LT records'!$C436&amp;"-"&amp;MONTH('LT records'!$B436)</f>
        <v>2018-9</v>
      </c>
      <c r="E436" s="324" t="s">
        <v>14</v>
      </c>
      <c r="F436" s="324" t="str">
        <f aca="false">LEFT('LT records'!$E436,3)</f>
        <v>CSH</v>
      </c>
      <c r="G436" s="324" t="str">
        <f aca="false">IF(OR('LT records'!$F436="MyF", 'LT records'!$F436="DEP"),"DEP",IF('LT records'!$F436="CSH","CSH",IF('LT records'!$F436="BON","BND",IF('LT records'!$F436="Sma","MKT",IF(OR('LT records'!$F436="Val", 'LT records'!$F436="EUR"),"FCY",IF('LT records'!$F436="X-P","PP3",IF('LT records'!$F436="X-m","XAU","???")))))))</f>
        <v>CSH</v>
      </c>
      <c r="H436" s="325" t="n">
        <f aca="false">13026+50</f>
        <v>13076</v>
      </c>
      <c r="I436" s="340"/>
      <c r="J436" s="340"/>
      <c r="K436" s="340"/>
      <c r="L436" s="341" t="s">
        <v>520</v>
      </c>
      <c r="M436" s="350" t="str">
        <f aca="false">YEAR('LT records'!$B436)&amp;"-"&amp;MONTH('LT records'!$B436)</f>
        <v>2018-9</v>
      </c>
      <c r="N436" s="343" t="n">
        <f aca="false">'LT records'!$H436+'LT records'!$I436</f>
        <v>13076</v>
      </c>
      <c r="O436" s="326"/>
      <c r="P436" s="324"/>
      <c r="R436" s="327"/>
    </row>
    <row r="437" customFormat="false" ht="12.8" hidden="false" customHeight="false" outlineLevel="0" collapsed="false">
      <c r="B437" s="351" t="n">
        <v>43365</v>
      </c>
      <c r="C437" s="348" t="n">
        <f aca="false">YEAR('LT records'!$B437)</f>
        <v>2018</v>
      </c>
      <c r="D437" s="346" t="str">
        <f aca="false">'LT records'!$C437&amp;"-"&amp;MONTH('LT records'!$B437)</f>
        <v>2018-9</v>
      </c>
      <c r="E437" s="324" t="s">
        <v>444</v>
      </c>
      <c r="F437" s="324" t="str">
        <f aca="false">LEFT('LT records'!$E437,3)</f>
        <v>Val</v>
      </c>
      <c r="G437" s="324" t="str">
        <f aca="false">IF(OR('LT records'!$F437="MyF", 'LT records'!$F437="DEP"),"DEP",IF('LT records'!$F437="CSH","CSH",IF('LT records'!$F437="BON","BND",IF('LT records'!$F437="Sma","MKT",IF(OR('LT records'!$F437="Val", 'LT records'!$F437="EUR"),"FCY",IF('LT records'!$F437="X-P","PP3",IF('LT records'!$F437="X-m","XAU","???")))))))</f>
        <v>FCY</v>
      </c>
      <c r="H437" s="325" t="n">
        <v>233.5</v>
      </c>
      <c r="I437" s="340"/>
      <c r="J437" s="340" t="n">
        <v>50</v>
      </c>
      <c r="K437" s="340"/>
      <c r="L437" s="341" t="s">
        <v>450</v>
      </c>
      <c r="M437" s="350" t="str">
        <f aca="false">YEAR('LT records'!$B437)&amp;"-"&amp;MONTH('LT records'!$B437)</f>
        <v>2018-9</v>
      </c>
      <c r="N437" s="343" t="n">
        <f aca="false">'LT records'!$H437+'LT records'!$I437</f>
        <v>233.5</v>
      </c>
      <c r="O437" s="326"/>
      <c r="P437" s="324"/>
      <c r="R437" s="327"/>
    </row>
    <row r="438" customFormat="false" ht="12.8" hidden="false" customHeight="false" outlineLevel="0" collapsed="false">
      <c r="B438" s="351" t="n">
        <v>43368</v>
      </c>
      <c r="C438" s="348" t="n">
        <f aca="false">YEAR('LT records'!$B438)</f>
        <v>2018</v>
      </c>
      <c r="D438" s="346" t="str">
        <f aca="false">'LT records'!$C438&amp;"-"&amp;MONTH('LT records'!$B438)</f>
        <v>2018-9</v>
      </c>
      <c r="E438" s="324" t="s">
        <v>423</v>
      </c>
      <c r="F438" s="324" t="str">
        <f aca="false">LEFT('LT records'!$E438,3)</f>
        <v>Sma</v>
      </c>
      <c r="G438" s="324" t="str">
        <f aca="false">IF(OR('LT records'!$F438="MyF", 'LT records'!$F438="DEP"),"DEP",IF('LT records'!$F438="CSH","CSH",IF('LT records'!$F438="BON","BND",IF('LT records'!$F438="Sma","MKT",IF(OR('LT records'!$F438="Val", 'LT records'!$F438="EUR"),"FCY",IF('LT records'!$F438="X-P","PP3",IF('LT records'!$F438="X-m","XAU","???")))))))</f>
        <v>MKT</v>
      </c>
      <c r="H438" s="325" t="n">
        <v>1100</v>
      </c>
      <c r="I438" s="340"/>
      <c r="J438" s="340"/>
      <c r="K438" s="340"/>
      <c r="L438" s="341" t="s">
        <v>460</v>
      </c>
      <c r="M438" s="350" t="str">
        <f aca="false">YEAR('LT records'!$B438)&amp;"-"&amp;MONTH('LT records'!$B438)</f>
        <v>2018-9</v>
      </c>
      <c r="N438" s="343" t="n">
        <f aca="false">'LT records'!$H438+'LT records'!$I438</f>
        <v>1100</v>
      </c>
      <c r="O438" s="326"/>
      <c r="P438" s="324"/>
      <c r="R438" s="327"/>
    </row>
    <row r="439" customFormat="false" ht="12.8" hidden="false" customHeight="false" outlineLevel="0" collapsed="false">
      <c r="B439" s="351" t="n">
        <v>43368</v>
      </c>
      <c r="C439" s="348" t="n">
        <f aca="false">YEAR('LT records'!$B439)</f>
        <v>2018</v>
      </c>
      <c r="D439" s="346" t="str">
        <f aca="false">'LT records'!$C439&amp;"-"&amp;MONTH('LT records'!$B439)</f>
        <v>2018-9</v>
      </c>
      <c r="E439" s="324" t="s">
        <v>318</v>
      </c>
      <c r="F439" s="324" t="str">
        <f aca="false">LEFT('LT records'!$E439,3)</f>
        <v>X-P</v>
      </c>
      <c r="G439" s="324" t="str">
        <f aca="false">IF(OR('LT records'!$F439="MyF", 'LT records'!$F439="DEP"),"DEP",IF('LT records'!$F439="CSH","CSH",IF('LT records'!$F439="BON","BND",IF('LT records'!$F439="Sma","MKT",IF(OR('LT records'!$F439="Val", 'LT records'!$F439="EUR"),"FCY",IF('LT records'!$F439="X-P","PP3",IF('LT records'!$F439="X-m","XAU","???")))))))</f>
        <v>PP3</v>
      </c>
      <c r="H439" s="325" t="n">
        <v>300</v>
      </c>
      <c r="I439" s="340"/>
      <c r="J439" s="340"/>
      <c r="K439" s="340"/>
      <c r="L439" s="341" t="s">
        <v>459</v>
      </c>
      <c r="M439" s="350" t="str">
        <f aca="false">YEAR('LT records'!$B439)&amp;"-"&amp;MONTH('LT records'!$B439)</f>
        <v>2018-9</v>
      </c>
      <c r="N439" s="343" t="n">
        <f aca="false">'LT records'!$H439+'LT records'!$I439</f>
        <v>300</v>
      </c>
      <c r="O439" s="326"/>
      <c r="P439" s="324"/>
      <c r="R439" s="327"/>
    </row>
    <row r="440" customFormat="false" ht="12.8" hidden="false" customHeight="false" outlineLevel="0" collapsed="false">
      <c r="B440" s="351" t="n">
        <v>43371</v>
      </c>
      <c r="C440" s="348" t="n">
        <f aca="false">YEAR('LT records'!$B440)</f>
        <v>2018</v>
      </c>
      <c r="D440" s="346" t="str">
        <f aca="false">'LT records'!$C440&amp;"-"&amp;MONTH('LT records'!$B440)</f>
        <v>2018-9</v>
      </c>
      <c r="E440" s="324" t="s">
        <v>14</v>
      </c>
      <c r="F440" s="324" t="str">
        <f aca="false">LEFT('LT records'!$E440,3)</f>
        <v>CSH</v>
      </c>
      <c r="G440" s="324" t="str">
        <f aca="false">IF(OR('LT records'!$F440="MyF", 'LT records'!$F440="DEP"),"DEP",IF('LT records'!$F440="CSH","CSH",IF('LT records'!$F440="BON","BND",IF('LT records'!$F440="Sma","MKT",IF(OR('LT records'!$F440="Val", 'LT records'!$F440="EUR"),"FCY",IF('LT records'!$F440="X-P","PP3",IF('LT records'!$F440="X-m","XAU","???")))))))</f>
        <v>CSH</v>
      </c>
      <c r="H440" s="325" t="n">
        <v>50</v>
      </c>
      <c r="I440" s="340" t="n">
        <v>3.12</v>
      </c>
      <c r="J440" s="340"/>
      <c r="K440" s="340"/>
      <c r="L440" s="341" t="s">
        <v>521</v>
      </c>
      <c r="M440" s="350" t="str">
        <f aca="false">YEAR('LT records'!$B440)&amp;"-"&amp;MONTH('LT records'!$B440)</f>
        <v>2018-9</v>
      </c>
      <c r="N440" s="343" t="n">
        <f aca="false">'LT records'!$H440+'LT records'!$I440</f>
        <v>53.12</v>
      </c>
      <c r="O440" s="326"/>
      <c r="P440" s="324"/>
      <c r="R440" s="327"/>
    </row>
    <row r="441" customFormat="false" ht="12.8" hidden="false" customHeight="false" outlineLevel="0" collapsed="false">
      <c r="B441" s="351" t="n">
        <v>43371</v>
      </c>
      <c r="C441" s="348" t="n">
        <f aca="false">YEAR('LT records'!$B441)</f>
        <v>2018</v>
      </c>
      <c r="D441" s="346" t="str">
        <f aca="false">'LT records'!$C441&amp;"-"&amp;MONTH('LT records'!$B441)</f>
        <v>2018-9</v>
      </c>
      <c r="E441" s="324" t="s">
        <v>444</v>
      </c>
      <c r="F441" s="324" t="str">
        <f aca="false">LEFT('LT records'!$E441,3)</f>
        <v>Val</v>
      </c>
      <c r="G441" s="324" t="str">
        <f aca="false">IF(OR('LT records'!$F441="MyF", 'LT records'!$F441="DEP"),"DEP",IF('LT records'!$F441="CSH","CSH",IF('LT records'!$F441="BON","BND",IF('LT records'!$F441="Sma","MKT",IF(OR('LT records'!$F441="Val", 'LT records'!$F441="EUR"),"FCY",IF('LT records'!$F441="X-P","PP3",IF('LT records'!$F441="X-m","XAU","???")))))))</f>
        <v>FCY</v>
      </c>
      <c r="H441" s="325" t="n">
        <v>0</v>
      </c>
      <c r="I441" s="340"/>
      <c r="J441" s="340"/>
      <c r="K441" s="340" t="n">
        <v>0.69</v>
      </c>
      <c r="L441" s="341" t="s">
        <v>40</v>
      </c>
      <c r="M441" s="350" t="str">
        <f aca="false">YEAR('LT records'!$B441)&amp;"-"&amp;MONTH('LT records'!$B441)</f>
        <v>2018-9</v>
      </c>
      <c r="N441" s="343" t="n">
        <f aca="false">'LT records'!$H441+'LT records'!$I441</f>
        <v>0</v>
      </c>
      <c r="O441" s="326"/>
      <c r="P441" s="324"/>
      <c r="R441" s="327"/>
    </row>
    <row r="442" customFormat="false" ht="12.8" hidden="false" customHeight="false" outlineLevel="0" collapsed="false">
      <c r="B442" s="351" t="n">
        <v>43375</v>
      </c>
      <c r="C442" s="348" t="n">
        <f aca="false">YEAR('LT records'!$B442)</f>
        <v>2018</v>
      </c>
      <c r="D442" s="346" t="str">
        <f aca="false">'LT records'!$C442&amp;"-"&amp;MONTH('LT records'!$B442)</f>
        <v>2018-10</v>
      </c>
      <c r="E442" s="324" t="s">
        <v>444</v>
      </c>
      <c r="F442" s="324" t="str">
        <f aca="false">LEFT('LT records'!$E442,3)</f>
        <v>Val</v>
      </c>
      <c r="G442" s="324" t="str">
        <f aca="false">IF(OR('LT records'!$F442="MyF", 'LT records'!$F442="DEP"),"DEP",IF('LT records'!$F442="CSH","CSH",IF('LT records'!$F442="BON","BND",IF('LT records'!$F442="Sma","MKT",IF(OR('LT records'!$F442="Val", 'LT records'!$F442="EUR"),"FCY",IF('LT records'!$F442="X-P","PP3",IF('LT records'!$F442="X-m","XAU","???")))))))</f>
        <v>FCY</v>
      </c>
      <c r="H442" s="325" t="n">
        <v>0</v>
      </c>
      <c r="I442" s="340"/>
      <c r="J442" s="340" t="n">
        <v>-800</v>
      </c>
      <c r="K442" s="340"/>
      <c r="L442" s="341" t="s">
        <v>522</v>
      </c>
      <c r="M442" s="350" t="str">
        <f aca="false">YEAR('LT records'!$B442)&amp;"-"&amp;MONTH('LT records'!$B442)</f>
        <v>2018-10</v>
      </c>
      <c r="N442" s="343" t="n">
        <f aca="false">'LT records'!$H442+'LT records'!$I442</f>
        <v>0</v>
      </c>
      <c r="O442" s="326"/>
      <c r="P442" s="324"/>
      <c r="R442" s="327"/>
    </row>
    <row r="443" customFormat="false" ht="12.8" hidden="false" customHeight="false" outlineLevel="0" collapsed="false">
      <c r="B443" s="351" t="n">
        <v>43375</v>
      </c>
      <c r="C443" s="348" t="n">
        <f aca="false">YEAR('LT records'!$B443)</f>
        <v>2018</v>
      </c>
      <c r="D443" s="346" t="str">
        <f aca="false">'LT records'!$C443&amp;"-"&amp;MONTH('LT records'!$B443)</f>
        <v>2018-10</v>
      </c>
      <c r="E443" s="324" t="s">
        <v>523</v>
      </c>
      <c r="F443" s="324" t="str">
        <f aca="false">LEFT('LT records'!$E443,3)</f>
        <v>EUR</v>
      </c>
      <c r="G443" s="324" t="str">
        <f aca="false">IF(OR('LT records'!$F443="MyF", 'LT records'!$F443="DEP"),"DEP",IF('LT records'!$F443="CSH","CSH",IF('LT records'!$F443="BON","BND",IF('LT records'!$F443="Sma","MKT",IF(OR('LT records'!$F443="Val", 'LT records'!$F443="EUR"),"FCY",IF('LT records'!$F443="X-P","PP3",IF('LT records'!$F443="X-m","XAU","???")))))))</f>
        <v>FCY</v>
      </c>
      <c r="H443" s="325" t="n">
        <v>0</v>
      </c>
      <c r="I443" s="340"/>
      <c r="J443" s="340" t="n">
        <v>800</v>
      </c>
      <c r="K443" s="340"/>
      <c r="L443" s="341" t="s">
        <v>524</v>
      </c>
      <c r="M443" s="350" t="str">
        <f aca="false">YEAR('LT records'!$B443)&amp;"-"&amp;MONTH('LT records'!$B443)</f>
        <v>2018-10</v>
      </c>
      <c r="N443" s="343" t="n">
        <f aca="false">'LT records'!$H443+'LT records'!$I443</f>
        <v>0</v>
      </c>
      <c r="O443" s="326"/>
      <c r="P443" s="324"/>
      <c r="R443" s="327"/>
    </row>
    <row r="444" customFormat="false" ht="12.8" hidden="false" customHeight="false" outlineLevel="0" collapsed="false">
      <c r="B444" s="351" t="n">
        <v>43375</v>
      </c>
      <c r="C444" s="348" t="n">
        <f aca="false">YEAR('LT records'!$B444)</f>
        <v>2018</v>
      </c>
      <c r="D444" s="346" t="str">
        <f aca="false">'LT records'!$C444&amp;"-"&amp;MONTH('LT records'!$B444)</f>
        <v>2018-10</v>
      </c>
      <c r="E444" s="324" t="s">
        <v>14</v>
      </c>
      <c r="F444" s="324" t="str">
        <f aca="false">LEFT('LT records'!$E444,3)</f>
        <v>CSH</v>
      </c>
      <c r="G444" s="324" t="str">
        <f aca="false">IF(OR('LT records'!$F444="MyF", 'LT records'!$F444="DEP"),"DEP",IF('LT records'!$F444="CSH","CSH",IF('LT records'!$F444="BON","BND",IF('LT records'!$F444="Sma","MKT",IF(OR('LT records'!$F444="Val", 'LT records'!$F444="EUR"),"FCY",IF('LT records'!$F444="X-P","PP3",IF('LT records'!$F444="X-m","XAU","???")))))))</f>
        <v>CSH</v>
      </c>
      <c r="H444" s="325" t="n">
        <v>-10000</v>
      </c>
      <c r="I444" s="340"/>
      <c r="J444" s="340"/>
      <c r="K444" s="340"/>
      <c r="L444" s="341" t="s">
        <v>525</v>
      </c>
      <c r="M444" s="350" t="str">
        <f aca="false">YEAR('LT records'!$B444)&amp;"-"&amp;MONTH('LT records'!$B444)</f>
        <v>2018-10</v>
      </c>
      <c r="N444" s="343" t="n">
        <f aca="false">'LT records'!$H444+'LT records'!$I444</f>
        <v>-10000</v>
      </c>
      <c r="O444" s="326"/>
      <c r="P444" s="324"/>
      <c r="R444" s="327"/>
    </row>
    <row r="445" customFormat="false" ht="12.8" hidden="false" customHeight="false" outlineLevel="0" collapsed="false">
      <c r="B445" s="351" t="n">
        <v>43375</v>
      </c>
      <c r="C445" s="348" t="n">
        <f aca="false">YEAR('LT records'!$B445)</f>
        <v>2018</v>
      </c>
      <c r="D445" s="346" t="str">
        <f aca="false">'LT records'!$C445&amp;"-"&amp;MONTH('LT records'!$B445)</f>
        <v>2018-10</v>
      </c>
      <c r="E445" s="324" t="s">
        <v>305</v>
      </c>
      <c r="F445" s="324" t="str">
        <f aca="false">LEFT('LT records'!$E445,3)</f>
        <v>DEP</v>
      </c>
      <c r="G445" s="324" t="str">
        <f aca="false">IF(OR('LT records'!$F445="MyF", 'LT records'!$F445="DEP"),"DEP",IF('LT records'!$F445="CSH","CSH",IF('LT records'!$F445="BON","BND",IF('LT records'!$F445="Sma","MKT",IF(OR('LT records'!$F445="Val", 'LT records'!$F445="EUR"),"FCY",IF('LT records'!$F445="X-P","PP3",IF('LT records'!$F445="X-m","XAU","???")))))))</f>
        <v>DEP</v>
      </c>
      <c r="H445" s="325" t="n">
        <v>10000</v>
      </c>
      <c r="I445" s="340"/>
      <c r="J445" s="340"/>
      <c r="K445" s="340"/>
      <c r="L445" s="341" t="s">
        <v>526</v>
      </c>
      <c r="M445" s="350" t="str">
        <f aca="false">YEAR('LT records'!$B445)&amp;"-"&amp;MONTH('LT records'!$B445)</f>
        <v>2018-10</v>
      </c>
      <c r="N445" s="343" t="n">
        <f aca="false">'LT records'!$H445+'LT records'!$I445</f>
        <v>10000</v>
      </c>
      <c r="O445" s="326"/>
      <c r="P445" s="324"/>
      <c r="R445" s="327"/>
    </row>
    <row r="446" customFormat="false" ht="12.8" hidden="false" customHeight="false" outlineLevel="0" collapsed="false">
      <c r="B446" s="351" t="n">
        <v>43389</v>
      </c>
      <c r="C446" s="348" t="n">
        <f aca="false">YEAR('LT records'!$B446)</f>
        <v>2018</v>
      </c>
      <c r="D446" s="346" t="str">
        <f aca="false">'LT records'!$C446&amp;"-"&amp;MONTH('LT records'!$B446)</f>
        <v>2018-10</v>
      </c>
      <c r="E446" s="324" t="s">
        <v>318</v>
      </c>
      <c r="F446" s="324" t="str">
        <f aca="false">LEFT('LT records'!$E446,3)</f>
        <v>X-P</v>
      </c>
      <c r="G446" s="324" t="str">
        <f aca="false">IF(OR('LT records'!$F446="MyF", 'LT records'!$F446="DEP"),"DEP",IF('LT records'!$F446="CSH","CSH",IF('LT records'!$F446="BON","BND",IF('LT records'!$F446="Sma","MKT",IF(OR('LT records'!$F446="Val", 'LT records'!$F446="EUR"),"FCY",IF('LT records'!$F446="X-P","PP3",IF('LT records'!$F446="X-m","XAU","???")))))))</f>
        <v>PP3</v>
      </c>
      <c r="H446" s="325" t="n">
        <v>150</v>
      </c>
      <c r="I446" s="340"/>
      <c r="J446" s="340"/>
      <c r="K446" s="340"/>
      <c r="L446" s="341" t="s">
        <v>527</v>
      </c>
      <c r="M446" s="350" t="str">
        <f aca="false">YEAR('LT records'!$B446)&amp;"-"&amp;MONTH('LT records'!$B446)</f>
        <v>2018-10</v>
      </c>
      <c r="N446" s="343" t="n">
        <f aca="false">'LT records'!$H446+'LT records'!$I446</f>
        <v>150</v>
      </c>
      <c r="O446" s="326"/>
      <c r="P446" s="324"/>
      <c r="R446" s="327"/>
    </row>
    <row r="447" customFormat="false" ht="12.8" hidden="false" customHeight="false" outlineLevel="0" collapsed="false">
      <c r="B447" s="351" t="n">
        <v>43391</v>
      </c>
      <c r="C447" s="348" t="n">
        <f aca="false">YEAR('LT records'!$B447)</f>
        <v>2018</v>
      </c>
      <c r="D447" s="346" t="str">
        <f aca="false">'LT records'!$C447&amp;"-"&amp;MONTH('LT records'!$B447)</f>
        <v>2018-10</v>
      </c>
      <c r="E447" s="324" t="s">
        <v>14</v>
      </c>
      <c r="F447" s="324" t="str">
        <f aca="false">LEFT('LT records'!$E447,3)</f>
        <v>CSH</v>
      </c>
      <c r="G447" s="324" t="str">
        <f aca="false">IF(OR('LT records'!$F447="MyF", 'LT records'!$F447="DEP"),"DEP",IF('LT records'!$F447="CSH","CSH",IF('LT records'!$F447="BON","BND",IF('LT records'!$F447="Sma","MKT",IF(OR('LT records'!$F447="Val", 'LT records'!$F447="EUR"),"FCY",IF('LT records'!$F447="X-P","PP3",IF('LT records'!$F447="X-m","XAU","???")))))))</f>
        <v>CSH</v>
      </c>
      <c r="H447" s="325" t="n">
        <v>3825.55</v>
      </c>
      <c r="I447" s="340"/>
      <c r="J447" s="340"/>
      <c r="K447" s="340"/>
      <c r="L447" s="341" t="s">
        <v>56</v>
      </c>
      <c r="M447" s="350" t="str">
        <f aca="false">YEAR('LT records'!$B447)&amp;"-"&amp;MONTH('LT records'!$B447)</f>
        <v>2018-10</v>
      </c>
      <c r="N447" s="343" t="n">
        <f aca="false">'LT records'!$H447+'LT records'!$I447</f>
        <v>3825.55</v>
      </c>
      <c r="O447" s="326"/>
      <c r="P447" s="324"/>
      <c r="R447" s="327"/>
    </row>
    <row r="448" customFormat="false" ht="12.8" hidden="false" customHeight="false" outlineLevel="0" collapsed="false">
      <c r="B448" s="351" t="n">
        <v>43396</v>
      </c>
      <c r="C448" s="348" t="n">
        <f aca="false">YEAR('LT records'!$B448)</f>
        <v>2018</v>
      </c>
      <c r="D448" s="346" t="str">
        <f aca="false">'LT records'!$C448&amp;"-"&amp;MONTH('LT records'!$B448)</f>
        <v>2018-10</v>
      </c>
      <c r="E448" s="324" t="s">
        <v>14</v>
      </c>
      <c r="F448" s="324" t="str">
        <f aca="false">LEFT('LT records'!$E448,3)</f>
        <v>CSH</v>
      </c>
      <c r="G448" s="324" t="str">
        <f aca="false">IF(OR('LT records'!$F448="MyF", 'LT records'!$F448="DEP"),"DEP",IF('LT records'!$F448="CSH","CSH",IF('LT records'!$F448="BON","BND",IF('LT records'!$F448="Sma","MKT",IF(OR('LT records'!$F448="Val", 'LT records'!$F448="EUR"),"FCY",IF('LT records'!$F448="X-P","PP3",IF('LT records'!$F448="X-m","XAU","???")))))))</f>
        <v>CSH</v>
      </c>
      <c r="H448" s="325" t="n">
        <v>-291.94</v>
      </c>
      <c r="I448" s="340"/>
      <c r="J448" s="340"/>
      <c r="K448" s="340"/>
      <c r="L448" s="341" t="s">
        <v>528</v>
      </c>
      <c r="M448" s="350" t="str">
        <f aca="false">YEAR('LT records'!$B448)&amp;"-"&amp;MONTH('LT records'!$B448)</f>
        <v>2018-10</v>
      </c>
      <c r="N448" s="343" t="n">
        <f aca="false">'LT records'!$H448+'LT records'!$I448</f>
        <v>-291.94</v>
      </c>
      <c r="O448" s="326"/>
      <c r="P448" s="324"/>
      <c r="R448" s="327"/>
    </row>
    <row r="449" customFormat="false" ht="12.8" hidden="false" customHeight="false" outlineLevel="0" collapsed="false">
      <c r="B449" s="351" t="n">
        <v>43398</v>
      </c>
      <c r="C449" s="348" t="n">
        <f aca="false">YEAR('LT records'!$B449)</f>
        <v>2018</v>
      </c>
      <c r="D449" s="346" t="str">
        <f aca="false">'LT records'!$C449&amp;"-"&amp;MONTH('LT records'!$B449)</f>
        <v>2018-10</v>
      </c>
      <c r="E449" s="324" t="s">
        <v>423</v>
      </c>
      <c r="F449" s="324" t="str">
        <f aca="false">LEFT('LT records'!$E449,3)</f>
        <v>Sma</v>
      </c>
      <c r="G449" s="354" t="str">
        <f aca="false">IF(OR('LT records'!$F449="MyF", 'LT records'!$F449="DEP"),"DEP",IF('LT records'!$F449="CSH","CSH",IF('LT records'!$F449="BON","BND",IF('LT records'!$F449="Sma","MKT",IF(OR('LT records'!$F449="Val", 'LT records'!$F449="EUR"),"FCY",IF('LT records'!$F449="X-P","PP3",IF('LT records'!$F449="X-m","XAU","???")))))))</f>
        <v>MKT</v>
      </c>
      <c r="H449" s="325" t="n">
        <v>1100</v>
      </c>
      <c r="I449" s="340"/>
      <c r="J449" s="340"/>
      <c r="K449" s="340"/>
      <c r="L449" s="341" t="s">
        <v>460</v>
      </c>
      <c r="M449" s="350" t="str">
        <f aca="false">YEAR('LT records'!$B449)&amp;"-"&amp;MONTH('LT records'!$B449)</f>
        <v>2018-10</v>
      </c>
      <c r="N449" s="343" t="n">
        <f aca="false">'LT records'!$H449+'LT records'!$I449</f>
        <v>1100</v>
      </c>
      <c r="O449" s="326"/>
      <c r="P449" s="324"/>
      <c r="R449" s="327"/>
    </row>
    <row r="450" customFormat="false" ht="12.8" hidden="false" customHeight="false" outlineLevel="0" collapsed="false">
      <c r="B450" s="351" t="n">
        <v>43398</v>
      </c>
      <c r="C450" s="348" t="n">
        <f aca="false">YEAR('LT records'!$B450)</f>
        <v>2018</v>
      </c>
      <c r="D450" s="346" t="str">
        <f aca="false">'LT records'!$C450&amp;"-"&amp;MONTH('LT records'!$B450)</f>
        <v>2018-10</v>
      </c>
      <c r="E450" s="324" t="s">
        <v>318</v>
      </c>
      <c r="F450" s="324" t="str">
        <f aca="false">LEFT('LT records'!$E450,3)</f>
        <v>X-P</v>
      </c>
      <c r="G450" s="354" t="str">
        <f aca="false">IF(OR('LT records'!$F450="MyF", 'LT records'!$F450="DEP"),"DEP",IF('LT records'!$F450="CSH","CSH",IF('LT records'!$F450="BON","BND",IF('LT records'!$F450="Sma","MKT",IF(OR('LT records'!$F450="Val", 'LT records'!$F450="EUR"),"FCY",IF('LT records'!$F450="X-P","PP3",IF('LT records'!$F450="X-m","XAU","???")))))))</f>
        <v>PP3</v>
      </c>
      <c r="H450" s="325" t="n">
        <v>300</v>
      </c>
      <c r="I450" s="340"/>
      <c r="J450" s="340"/>
      <c r="K450" s="340"/>
      <c r="L450" s="341" t="s">
        <v>459</v>
      </c>
      <c r="M450" s="350" t="str">
        <f aca="false">YEAR('LT records'!$B450)&amp;"-"&amp;MONTH('LT records'!$B450)</f>
        <v>2018-10</v>
      </c>
      <c r="N450" s="343" t="n">
        <f aca="false">'LT records'!$H450+'LT records'!$I450</f>
        <v>300</v>
      </c>
      <c r="O450" s="326"/>
      <c r="P450" s="324"/>
      <c r="R450" s="327"/>
    </row>
    <row r="451" customFormat="false" ht="12.8" hidden="false" customHeight="false" outlineLevel="0" collapsed="false">
      <c r="B451" s="351" t="n">
        <v>43399</v>
      </c>
      <c r="C451" s="348" t="n">
        <f aca="false">YEAR('LT records'!$B451)</f>
        <v>2018</v>
      </c>
      <c r="D451" s="346" t="str">
        <f aca="false">'LT records'!$C451&amp;"-"&amp;MONTH('LT records'!$B451)</f>
        <v>2018-10</v>
      </c>
      <c r="E451" s="324" t="s">
        <v>444</v>
      </c>
      <c r="F451" s="324" t="str">
        <f aca="false">LEFT('LT records'!$E451,3)</f>
        <v>Val</v>
      </c>
      <c r="G451" s="354" t="str">
        <f aca="false">IF(OR('LT records'!$F451="MyF", 'LT records'!$F451="DEP"),"DEP",IF('LT records'!$F451="CSH","CSH",IF('LT records'!$F451="BON","BND",IF('LT records'!$F451="Sma","MKT",IF(OR('LT records'!$F451="Val", 'LT records'!$F451="EUR"),"FCY",IF('LT records'!$F451="X-P","PP3",IF('LT records'!$F451="X-m","XAU","???")))))))</f>
        <v>FCY</v>
      </c>
      <c r="H451" s="325" t="n">
        <v>93.4</v>
      </c>
      <c r="I451" s="340"/>
      <c r="J451" s="340" t="n">
        <v>20</v>
      </c>
      <c r="K451" s="340"/>
      <c r="L451" s="341" t="s">
        <v>529</v>
      </c>
      <c r="M451" s="350" t="str">
        <f aca="false">YEAR('LT records'!$B451)&amp;"-"&amp;MONTH('LT records'!$B451)</f>
        <v>2018-10</v>
      </c>
      <c r="N451" s="343" t="n">
        <f aca="false">'LT records'!$H451+'LT records'!$I451</f>
        <v>93.4</v>
      </c>
      <c r="O451" s="326"/>
      <c r="P451" s="324"/>
      <c r="R451" s="327"/>
    </row>
    <row r="452" customFormat="false" ht="12.8" hidden="false" customHeight="false" outlineLevel="0" collapsed="false">
      <c r="B452" s="351" t="n">
        <v>43399</v>
      </c>
      <c r="C452" s="348" t="n">
        <f aca="false">YEAR('LT records'!$B452)</f>
        <v>2018</v>
      </c>
      <c r="D452" s="346" t="str">
        <f aca="false">'LT records'!$C452&amp;"-"&amp;MONTH('LT records'!$B452)</f>
        <v>2018-10</v>
      </c>
      <c r="E452" s="324" t="s">
        <v>14</v>
      </c>
      <c r="F452" s="324" t="str">
        <f aca="false">LEFT('LT records'!$E452,3)</f>
        <v>CSH</v>
      </c>
      <c r="G452" s="354" t="str">
        <f aca="false">IF(OR('LT records'!$F452="MyF", 'LT records'!$F452="DEP"),"DEP",IF('LT records'!$F452="CSH","CSH",IF('LT records'!$F452="BON","BND",IF('LT records'!$F452="Sma","MKT",IF(OR('LT records'!$F452="Val", 'LT records'!$F452="EUR"),"FCY",IF('LT records'!$F452="X-P","PP3",IF('LT records'!$F452="X-m","XAU","???")))))))</f>
        <v>CSH</v>
      </c>
      <c r="H452" s="325" t="n">
        <v>42</v>
      </c>
      <c r="I452" s="340"/>
      <c r="J452" s="340"/>
      <c r="K452" s="340"/>
      <c r="L452" s="341" t="s">
        <v>56</v>
      </c>
      <c r="M452" s="350" t="str">
        <f aca="false">YEAR('LT records'!$B452)&amp;"-"&amp;MONTH('LT records'!$B452)</f>
        <v>2018-10</v>
      </c>
      <c r="N452" s="343" t="n">
        <f aca="false">'LT records'!$H452+'LT records'!$I452</f>
        <v>42</v>
      </c>
      <c r="O452" s="326"/>
      <c r="P452" s="324"/>
      <c r="R452" s="327"/>
    </row>
    <row r="453" customFormat="false" ht="12.8" hidden="false" customHeight="false" outlineLevel="0" collapsed="false">
      <c r="B453" s="351" t="n">
        <v>43401</v>
      </c>
      <c r="C453" s="348" t="n">
        <f aca="false">YEAR('LT records'!$B453)</f>
        <v>2018</v>
      </c>
      <c r="D453" s="346" t="str">
        <f aca="false">'LT records'!$C453&amp;"-"&amp;MONTH('LT records'!$B453)</f>
        <v>2018-10</v>
      </c>
      <c r="E453" s="324" t="s">
        <v>14</v>
      </c>
      <c r="F453" s="324" t="str">
        <f aca="false">LEFT('LT records'!$E453,3)</f>
        <v>CSH</v>
      </c>
      <c r="G453" s="354" t="str">
        <f aca="false">IF(OR('LT records'!$F453="MyF", 'LT records'!$F453="DEP"),"DEP",IF('LT records'!$F453="CSH","CSH",IF('LT records'!$F453="BON","BND",IF('LT records'!$F453="Sma","MKT",IF(OR('LT records'!$F453="Val", 'LT records'!$F453="EUR"),"FCY",IF('LT records'!$F453="X-P","PP3",IF('LT records'!$F453="X-m","XAU","???")))))))</f>
        <v>CSH</v>
      </c>
      <c r="H453" s="325" t="n">
        <v>50</v>
      </c>
      <c r="I453" s="340" t="n">
        <v>3.95</v>
      </c>
      <c r="J453" s="340"/>
      <c r="K453" s="340"/>
      <c r="L453" s="341" t="s">
        <v>530</v>
      </c>
      <c r="M453" s="350" t="str">
        <f aca="false">YEAR('LT records'!$B453)&amp;"-"&amp;MONTH('LT records'!$B453)</f>
        <v>2018-10</v>
      </c>
      <c r="N453" s="343" t="n">
        <f aca="false">'LT records'!$H453+'LT records'!$I453</f>
        <v>53.95</v>
      </c>
      <c r="O453" s="326"/>
      <c r="P453" s="324"/>
      <c r="R453" s="327"/>
    </row>
    <row r="454" customFormat="false" ht="12.8" hidden="false" customHeight="false" outlineLevel="0" collapsed="false">
      <c r="B454" s="351" t="n">
        <v>43401</v>
      </c>
      <c r="C454" s="348" t="n">
        <f aca="false">YEAR('LT records'!$B454)</f>
        <v>2018</v>
      </c>
      <c r="D454" s="346" t="str">
        <f aca="false">'LT records'!$C454&amp;"-"&amp;MONTH('LT records'!$B454)</f>
        <v>2018-10</v>
      </c>
      <c r="E454" s="324" t="s">
        <v>444</v>
      </c>
      <c r="F454" s="324" t="str">
        <f aca="false">LEFT('LT records'!$E454,3)</f>
        <v>Val</v>
      </c>
      <c r="G454" s="354" t="str">
        <f aca="false">IF(OR('LT records'!$F454="MyF", 'LT records'!$F454="DEP"),"DEP",IF('LT records'!$F454="CSH","CSH",IF('LT records'!$F454="BON","BND",IF('LT records'!$F454="Sma","MKT",IF(OR('LT records'!$F454="Val", 'LT records'!$F454="EUR"),"FCY",IF('LT records'!$F454="X-P","PP3",IF('LT records'!$F454="X-m","XAU","???")))))))</f>
        <v>FCY</v>
      </c>
      <c r="H454" s="325" t="n">
        <v>0</v>
      </c>
      <c r="I454" s="340"/>
      <c r="J454" s="340"/>
      <c r="K454" s="340" t="n">
        <v>0.6</v>
      </c>
      <c r="L454" s="341" t="s">
        <v>40</v>
      </c>
      <c r="M454" s="350" t="str">
        <f aca="false">YEAR('LT records'!$B454)&amp;"-"&amp;MONTH('LT records'!$B454)</f>
        <v>2018-10</v>
      </c>
      <c r="N454" s="343" t="n">
        <f aca="false">'LT records'!$H454+'LT records'!$I454</f>
        <v>0</v>
      </c>
      <c r="O454" s="326"/>
      <c r="P454" s="324"/>
      <c r="R454" s="327"/>
    </row>
    <row r="455" customFormat="false" ht="12.8" hidden="false" customHeight="false" outlineLevel="0" collapsed="false">
      <c r="B455" s="351" t="n">
        <v>43403</v>
      </c>
      <c r="C455" s="348" t="n">
        <f aca="false">YEAR('LT records'!$B455)</f>
        <v>2018</v>
      </c>
      <c r="D455" s="346" t="str">
        <f aca="false">'LT records'!$C455&amp;"-"&amp;MONTH('LT records'!$B455)</f>
        <v>2018-10</v>
      </c>
      <c r="E455" s="324" t="s">
        <v>14</v>
      </c>
      <c r="F455" s="324" t="str">
        <f aca="false">LEFT('LT records'!$E455,3)</f>
        <v>CSH</v>
      </c>
      <c r="G455" s="354" t="str">
        <f aca="false">IF(OR('LT records'!$F455="MyF", 'LT records'!$F455="DEP"),"DEP",IF('LT records'!$F455="CSH","CSH",IF('LT records'!$F455="BON","BND",IF('LT records'!$F455="Sma","MKT",IF(OR('LT records'!$F455="Val", 'LT records'!$F455="EUR"),"FCY",IF('LT records'!$F455="X-P","PP3",IF('LT records'!$F455="X-m","XAU","???")))))))</f>
        <v>CSH</v>
      </c>
      <c r="H455" s="325" t="n">
        <v>99</v>
      </c>
      <c r="I455" s="340"/>
      <c r="J455" s="340"/>
      <c r="K455" s="340"/>
      <c r="L455" s="341" t="s">
        <v>56</v>
      </c>
      <c r="M455" s="350" t="str">
        <f aca="false">YEAR('LT records'!$B455)&amp;"-"&amp;MONTH('LT records'!$B455)</f>
        <v>2018-10</v>
      </c>
      <c r="N455" s="343" t="n">
        <f aca="false">'LT records'!$H455+'LT records'!$I455</f>
        <v>99</v>
      </c>
      <c r="O455" s="326"/>
      <c r="P455" s="324"/>
      <c r="R455" s="327"/>
    </row>
    <row r="456" customFormat="false" ht="12.8" hidden="false" customHeight="false" outlineLevel="0" collapsed="false">
      <c r="B456" s="351" t="n">
        <v>43405</v>
      </c>
      <c r="C456" s="348" t="n">
        <f aca="false">YEAR('LT records'!$B456)</f>
        <v>2018</v>
      </c>
      <c r="D456" s="346" t="str">
        <f aca="false">'LT records'!$C456&amp;"-"&amp;MONTH('LT records'!$B456)</f>
        <v>2018-11</v>
      </c>
      <c r="E456" s="324" t="s">
        <v>14</v>
      </c>
      <c r="F456" s="324" t="str">
        <f aca="false">LEFT('LT records'!$E456,3)</f>
        <v>CSH</v>
      </c>
      <c r="G456" s="354" t="str">
        <f aca="false">IF(OR('LT records'!$F456="MyF", 'LT records'!$F456="DEP"),"DEP",IF('LT records'!$F456="CSH","CSH",IF('LT records'!$F456="BON","BND",IF('LT records'!$F456="Sma","MKT",IF(OR('LT records'!$F456="Val", 'LT records'!$F456="EUR"),"FCY",IF('LT records'!$F456="X-P","PP3",IF('LT records'!$F456="X-m","XAU","???")))))))</f>
        <v>CSH</v>
      </c>
      <c r="H456" s="325" t="n">
        <v>-7800</v>
      </c>
      <c r="I456" s="340"/>
      <c r="J456" s="340"/>
      <c r="K456" s="340"/>
      <c r="L456" s="341" t="s">
        <v>531</v>
      </c>
      <c r="M456" s="350" t="str">
        <f aca="false">YEAR('LT records'!$B456)&amp;"-"&amp;MONTH('LT records'!$B456)</f>
        <v>2018-11</v>
      </c>
      <c r="N456" s="343" t="n">
        <f aca="false">'LT records'!$H456+'LT records'!$I456</f>
        <v>-7800</v>
      </c>
      <c r="O456" s="326"/>
      <c r="P456" s="324"/>
      <c r="R456" s="327"/>
    </row>
    <row r="457" customFormat="false" ht="12.8" hidden="false" customHeight="false" outlineLevel="0" collapsed="false">
      <c r="B457" s="351" t="n">
        <v>43405</v>
      </c>
      <c r="C457" s="348" t="n">
        <f aca="false">YEAR('LT records'!$B457)</f>
        <v>2018</v>
      </c>
      <c r="D457" s="346" t="str">
        <f aca="false">'LT records'!$C457&amp;"-"&amp;MONTH('LT records'!$B457)</f>
        <v>2018-11</v>
      </c>
      <c r="E457" s="324" t="s">
        <v>307</v>
      </c>
      <c r="F457" s="324" t="str">
        <f aca="false">LEFT('LT records'!$E457,3)</f>
        <v>DEP</v>
      </c>
      <c r="G457" s="354" t="str">
        <f aca="false">IF(OR('LT records'!$F457="MyF", 'LT records'!$F457="DEP"),"DEP",IF('LT records'!$F457="CSH","CSH",IF('LT records'!$F457="BON","BND",IF('LT records'!$F457="Sma","MKT",IF(OR('LT records'!$F457="Val", 'LT records'!$F457="EUR"),"FCY",IF('LT records'!$F457="X-P","PP3",IF('LT records'!$F457="X-m","XAU","???")))))))</f>
        <v>DEP</v>
      </c>
      <c r="H457" s="325" t="n">
        <v>7800</v>
      </c>
      <c r="I457" s="340"/>
      <c r="J457" s="340"/>
      <c r="K457" s="340"/>
      <c r="L457" s="341" t="s">
        <v>449</v>
      </c>
      <c r="M457" s="350" t="str">
        <f aca="false">YEAR('LT records'!$B457)&amp;"-"&amp;MONTH('LT records'!$B457)</f>
        <v>2018-11</v>
      </c>
      <c r="N457" s="343" t="n">
        <f aca="false">'LT records'!$H457+'LT records'!$I457</f>
        <v>7800</v>
      </c>
      <c r="O457" s="326"/>
      <c r="P457" s="324"/>
      <c r="R457" s="327"/>
    </row>
    <row r="458" customFormat="false" ht="12.8" hidden="false" customHeight="false" outlineLevel="0" collapsed="false">
      <c r="B458" s="351" t="n">
        <v>43405</v>
      </c>
      <c r="C458" s="348" t="n">
        <f aca="false">YEAR('LT records'!$B458)</f>
        <v>2018</v>
      </c>
      <c r="D458" s="346" t="str">
        <f aca="false">'LT records'!$C458&amp;"-"&amp;MONTH('LT records'!$B458)</f>
        <v>2018-11</v>
      </c>
      <c r="E458" s="324" t="s">
        <v>444</v>
      </c>
      <c r="F458" s="324" t="str">
        <f aca="false">LEFT('LT records'!$E458,3)</f>
        <v>Val</v>
      </c>
      <c r="G458" s="354" t="str">
        <f aca="false">IF(OR('LT records'!$F458="MyF", 'LT records'!$F458="DEP"),"DEP",IF('LT records'!$F458="CSH","CSH",IF('LT records'!$F458="BON","BND",IF('LT records'!$F458="Sma","MKT",IF(OR('LT records'!$F458="Val", 'LT records'!$F458="EUR"),"FCY",IF('LT records'!$F458="X-P","PP3",IF('LT records'!$F458="X-m","XAU","???")))))))</f>
        <v>FCY</v>
      </c>
      <c r="H458" s="325" t="n">
        <v>0</v>
      </c>
      <c r="I458" s="340"/>
      <c r="J458" s="340" t="n">
        <v>-800</v>
      </c>
      <c r="K458" s="340"/>
      <c r="L458" s="341" t="s">
        <v>532</v>
      </c>
      <c r="M458" s="350" t="str">
        <f aca="false">YEAR('LT records'!$B458)&amp;"-"&amp;MONTH('LT records'!$B458)</f>
        <v>2018-11</v>
      </c>
      <c r="N458" s="343" t="n">
        <f aca="false">'LT records'!$H458+'LT records'!$I458</f>
        <v>0</v>
      </c>
      <c r="O458" s="326"/>
      <c r="P458" s="324"/>
      <c r="R458" s="327"/>
    </row>
    <row r="459" customFormat="false" ht="12.8" hidden="false" customHeight="false" outlineLevel="0" collapsed="false">
      <c r="B459" s="351" t="n">
        <v>43405</v>
      </c>
      <c r="C459" s="348" t="n">
        <f aca="false">YEAR('LT records'!$B459)</f>
        <v>2018</v>
      </c>
      <c r="D459" s="346" t="str">
        <f aca="false">'LT records'!$C459&amp;"-"&amp;MONTH('LT records'!$B459)</f>
        <v>2018-11</v>
      </c>
      <c r="E459" s="324" t="s">
        <v>533</v>
      </c>
      <c r="F459" s="324" t="str">
        <f aca="false">LEFT('LT records'!$E459,3)</f>
        <v>EUR</v>
      </c>
      <c r="G459" s="354" t="str">
        <f aca="false">IF(OR('LT records'!$F459="MyF", 'LT records'!$F459="DEP"),"DEP",IF('LT records'!$F459="CSH","CSH",IF('LT records'!$F459="BON","BND",IF('LT records'!$F459="Sma","MKT",IF(OR('LT records'!$F459="Val", 'LT records'!$F459="EUR"),"FCY",IF('LT records'!$F459="X-P","PP3",IF('LT records'!$F459="X-m","XAU","???")))))))</f>
        <v>FCY</v>
      </c>
      <c r="H459" s="325" t="n">
        <v>0</v>
      </c>
      <c r="I459" s="340"/>
      <c r="J459" s="340" t="n">
        <v>800</v>
      </c>
      <c r="K459" s="340"/>
      <c r="L459" s="341" t="s">
        <v>449</v>
      </c>
      <c r="M459" s="350" t="str">
        <f aca="false">YEAR('LT records'!$B459)&amp;"-"&amp;MONTH('LT records'!$B459)</f>
        <v>2018-11</v>
      </c>
      <c r="N459" s="343" t="n">
        <f aca="false">'LT records'!$H459+'LT records'!$I459</f>
        <v>0</v>
      </c>
      <c r="O459" s="326"/>
      <c r="P459" s="324"/>
      <c r="R459" s="327"/>
    </row>
    <row r="460" customFormat="false" ht="12.8" hidden="false" customHeight="false" outlineLevel="0" collapsed="false">
      <c r="B460" s="351" t="n">
        <v>43423</v>
      </c>
      <c r="C460" s="348" t="n">
        <f aca="false">YEAR('LT records'!$B460)</f>
        <v>2018</v>
      </c>
      <c r="D460" s="346" t="str">
        <f aca="false">'LT records'!$C460&amp;"-"&amp;MONTH('LT records'!$B460)</f>
        <v>2018-11</v>
      </c>
      <c r="E460" s="324" t="s">
        <v>318</v>
      </c>
      <c r="F460" s="324" t="str">
        <f aca="false">LEFT('LT records'!$E460,3)</f>
        <v>X-P</v>
      </c>
      <c r="G460" s="354" t="str">
        <f aca="false">IF(OR('LT records'!$F460="MyF", 'LT records'!$F460="DEP"),"DEP",IF('LT records'!$F460="CSH","CSH",IF('LT records'!$F460="BON","BND",IF('LT records'!$F460="Sma","MKT",IF(OR('LT records'!$F460="Val", 'LT records'!$F460="EUR"),"FCY",IF('LT records'!$F460="X-P","PP3",IF('LT records'!$F460="X-m","XAU","???")))))))</f>
        <v>PP3</v>
      </c>
      <c r="H460" s="325" t="n">
        <v>150</v>
      </c>
      <c r="I460" s="340"/>
      <c r="J460" s="340"/>
      <c r="K460" s="340"/>
      <c r="L460" s="341" t="s">
        <v>527</v>
      </c>
      <c r="M460" s="350" t="str">
        <f aca="false">YEAR('LT records'!$B460)&amp;"-"&amp;MONTH('LT records'!$B460)</f>
        <v>2018-11</v>
      </c>
      <c r="N460" s="343" t="n">
        <f aca="false">'LT records'!$H460+'LT records'!$I460</f>
        <v>150</v>
      </c>
      <c r="O460" s="326"/>
      <c r="P460" s="324"/>
      <c r="R460" s="327"/>
    </row>
    <row r="461" customFormat="false" ht="12.8" hidden="false" customHeight="false" outlineLevel="0" collapsed="false">
      <c r="B461" s="351" t="n">
        <v>43424</v>
      </c>
      <c r="C461" s="348" t="n">
        <f aca="false">YEAR('LT records'!$B461)</f>
        <v>2018</v>
      </c>
      <c r="D461" s="346" t="str">
        <f aca="false">'LT records'!$C461&amp;"-"&amp;MONTH('LT records'!$B461)</f>
        <v>2018-11</v>
      </c>
      <c r="E461" s="324" t="s">
        <v>14</v>
      </c>
      <c r="F461" s="324" t="str">
        <f aca="false">LEFT('LT records'!$E461,3)</f>
        <v>CSH</v>
      </c>
      <c r="G461" s="354" t="str">
        <f aca="false">IF(OR('LT records'!$F461="MyF", 'LT records'!$F461="DEP"),"DEP",IF('LT records'!$F461="CSH","CSH",IF('LT records'!$F461="BON","BND",IF('LT records'!$F461="Sma","MKT",IF(OR('LT records'!$F461="Val", 'LT records'!$F461="EUR"),"FCY",IF('LT records'!$F461="X-P","PP3",IF('LT records'!$F461="X-m","XAU","???")))))))</f>
        <v>CSH</v>
      </c>
      <c r="H461" s="325" t="n">
        <v>2500</v>
      </c>
      <c r="I461" s="340"/>
      <c r="J461" s="340"/>
      <c r="K461" s="340"/>
      <c r="L461" s="341" t="s">
        <v>56</v>
      </c>
      <c r="M461" s="350" t="str">
        <f aca="false">YEAR('LT records'!$B461)&amp;"-"&amp;MONTH('LT records'!$B461)</f>
        <v>2018-11</v>
      </c>
      <c r="N461" s="343" t="n">
        <f aca="false">'LT records'!$H461+'LT records'!$I461</f>
        <v>2500</v>
      </c>
      <c r="O461" s="326"/>
      <c r="P461" s="324"/>
      <c r="R461" s="327"/>
    </row>
    <row r="462" customFormat="false" ht="12.8" hidden="false" customHeight="false" outlineLevel="0" collapsed="false">
      <c r="B462" s="351" t="n">
        <v>43427</v>
      </c>
      <c r="C462" s="348" t="n">
        <f aca="false">YEAR('LT records'!$B462)</f>
        <v>2018</v>
      </c>
      <c r="D462" s="346" t="str">
        <f aca="false">'LT records'!$C462&amp;"-"&amp;MONTH('LT records'!$B462)</f>
        <v>2018-11</v>
      </c>
      <c r="E462" s="324" t="s">
        <v>444</v>
      </c>
      <c r="F462" s="324" t="str">
        <f aca="false">LEFT('LT records'!$E462,3)</f>
        <v>Val</v>
      </c>
      <c r="G462" s="354" t="str">
        <f aca="false">IF(OR('LT records'!$F462="MyF", 'LT records'!$F462="DEP"),"DEP",IF('LT records'!$F462="CSH","CSH",IF('LT records'!$F462="BON","BND",IF('LT records'!$F462="Sma","MKT",IF(OR('LT records'!$F462="Val", 'LT records'!$F462="EUR"),"FCY",IF('LT records'!$F462="X-P","PP3",IF('LT records'!$F462="X-m","XAU","???")))))))</f>
        <v>FCY</v>
      </c>
      <c r="H462" s="325" t="n">
        <f aca="false">20*4.67</f>
        <v>93.4</v>
      </c>
      <c r="I462" s="340"/>
      <c r="J462" s="340" t="n">
        <v>20</v>
      </c>
      <c r="K462" s="340"/>
      <c r="L462" s="341" t="s">
        <v>529</v>
      </c>
      <c r="M462" s="350" t="str">
        <f aca="false">YEAR('LT records'!$B462)&amp;"-"&amp;MONTH('LT records'!$B462)</f>
        <v>2018-11</v>
      </c>
      <c r="N462" s="343" t="n">
        <f aca="false">'LT records'!$H462+'LT records'!$I462</f>
        <v>93.4</v>
      </c>
      <c r="O462" s="326"/>
      <c r="P462" s="324"/>
      <c r="R462" s="327"/>
    </row>
    <row r="463" customFormat="false" ht="12.8" hidden="false" customHeight="false" outlineLevel="0" collapsed="false">
      <c r="B463" s="351" t="n">
        <v>43429</v>
      </c>
      <c r="C463" s="348" t="n">
        <f aca="false">YEAR('LT records'!$B463)</f>
        <v>2018</v>
      </c>
      <c r="D463" s="346" t="str">
        <f aca="false">'LT records'!$C463&amp;"-"&amp;MONTH('LT records'!$B463)</f>
        <v>2018-11</v>
      </c>
      <c r="E463" s="324" t="s">
        <v>423</v>
      </c>
      <c r="F463" s="324" t="str">
        <f aca="false">LEFT('LT records'!$E463,3)</f>
        <v>Sma</v>
      </c>
      <c r="G463" s="354" t="str">
        <f aca="false">IF(OR('LT records'!$F463="MyF", 'LT records'!$F463="DEP"),"DEP",IF('LT records'!$F463="CSH","CSH",IF('LT records'!$F463="BON","BND",IF('LT records'!$F463="Sma","MKT",IF(OR('LT records'!$F463="Val", 'LT records'!$F463="EUR"),"FCY",IF('LT records'!$F463="X-P","PP3",IF('LT records'!$F463="X-m","XAU","???")))))))</f>
        <v>MKT</v>
      </c>
      <c r="H463" s="325" t="n">
        <v>1100</v>
      </c>
      <c r="I463" s="340"/>
      <c r="J463" s="340"/>
      <c r="K463" s="340"/>
      <c r="L463" s="341" t="s">
        <v>460</v>
      </c>
      <c r="M463" s="350" t="str">
        <f aca="false">YEAR('LT records'!$B463)&amp;"-"&amp;MONTH('LT records'!$B463)</f>
        <v>2018-11</v>
      </c>
      <c r="N463" s="343" t="n">
        <f aca="false">'LT records'!$H463+'LT records'!$I463</f>
        <v>1100</v>
      </c>
      <c r="O463" s="326"/>
      <c r="P463" s="324"/>
      <c r="R463" s="327"/>
    </row>
    <row r="464" customFormat="false" ht="12.8" hidden="false" customHeight="false" outlineLevel="0" collapsed="false">
      <c r="B464" s="351" t="n">
        <v>43429</v>
      </c>
      <c r="C464" s="348" t="n">
        <f aca="false">YEAR('LT records'!$B464)</f>
        <v>2018</v>
      </c>
      <c r="D464" s="346" t="str">
        <f aca="false">'LT records'!$C464&amp;"-"&amp;MONTH('LT records'!$B464)</f>
        <v>2018-11</v>
      </c>
      <c r="E464" s="324" t="s">
        <v>318</v>
      </c>
      <c r="F464" s="324" t="str">
        <f aca="false">LEFT('LT records'!$E464,3)</f>
        <v>X-P</v>
      </c>
      <c r="G464" s="354" t="str">
        <f aca="false">IF(OR('LT records'!$F464="MyF", 'LT records'!$F464="DEP"),"DEP",IF('LT records'!$F464="CSH","CSH",IF('LT records'!$F464="BON","BND",IF('LT records'!$F464="Sma","MKT",IF(OR('LT records'!$F464="Val", 'LT records'!$F464="EUR"),"FCY",IF('LT records'!$F464="X-P","PP3",IF('LT records'!$F464="X-m","XAU","???")))))))</f>
        <v>PP3</v>
      </c>
      <c r="H464" s="325" t="n">
        <v>300</v>
      </c>
      <c r="I464" s="340"/>
      <c r="J464" s="340"/>
      <c r="K464" s="340"/>
      <c r="L464" s="341" t="s">
        <v>459</v>
      </c>
      <c r="M464" s="350" t="str">
        <f aca="false">YEAR('LT records'!$B464)&amp;"-"&amp;MONTH('LT records'!$B464)</f>
        <v>2018-11</v>
      </c>
      <c r="N464" s="343" t="n">
        <f aca="false">'LT records'!$H464+'LT records'!$I464</f>
        <v>300</v>
      </c>
      <c r="O464" s="326"/>
      <c r="P464" s="324"/>
      <c r="R464" s="327"/>
    </row>
    <row r="465" customFormat="false" ht="12.8" hidden="false" customHeight="false" outlineLevel="0" collapsed="false">
      <c r="B465" s="351" t="n">
        <v>43430</v>
      </c>
      <c r="C465" s="348" t="n">
        <f aca="false">YEAR('LT records'!$B465)</f>
        <v>2018</v>
      </c>
      <c r="D465" s="346" t="str">
        <f aca="false">'LT records'!$C465&amp;"-"&amp;MONTH('LT records'!$B465)</f>
        <v>2018-11</v>
      </c>
      <c r="E465" s="324" t="s">
        <v>14</v>
      </c>
      <c r="F465" s="324" t="str">
        <f aca="false">LEFT('LT records'!$E465,3)</f>
        <v>CSH</v>
      </c>
      <c r="G465" s="354" t="str">
        <f aca="false">IF(OR('LT records'!$F465="MyF", 'LT records'!$F465="DEP"),"DEP",IF('LT records'!$F465="CSH","CSH",IF('LT records'!$F465="BON","BND",IF('LT records'!$F465="Sma","MKT",IF(OR('LT records'!$F465="Val", 'LT records'!$F465="EUR"),"FCY",IF('LT records'!$F465="X-P","PP3",IF('LT records'!$F465="X-m","XAU","???")))))))</f>
        <v>CSH</v>
      </c>
      <c r="H465" s="325" t="n">
        <v>42</v>
      </c>
      <c r="I465" s="340"/>
      <c r="J465" s="340"/>
      <c r="K465" s="340"/>
      <c r="L465" s="341" t="s">
        <v>56</v>
      </c>
      <c r="M465" s="350" t="str">
        <f aca="false">YEAR('LT records'!$B465)&amp;"-"&amp;MONTH('LT records'!$B465)</f>
        <v>2018-11</v>
      </c>
      <c r="N465" s="343" t="n">
        <f aca="false">'LT records'!$H465+'LT records'!$I465</f>
        <v>42</v>
      </c>
      <c r="O465" s="326"/>
      <c r="P465" s="324"/>
      <c r="R465" s="327"/>
    </row>
    <row r="466" customFormat="false" ht="12.8" hidden="false" customHeight="false" outlineLevel="0" collapsed="false">
      <c r="B466" s="351" t="n">
        <v>43432</v>
      </c>
      <c r="C466" s="348" t="n">
        <f aca="false">YEAR('LT records'!$B466)</f>
        <v>2018</v>
      </c>
      <c r="D466" s="346" t="str">
        <f aca="false">'LT records'!$C466&amp;"-"&amp;MONTH('LT records'!$B466)</f>
        <v>2018-11</v>
      </c>
      <c r="E466" s="324" t="s">
        <v>14</v>
      </c>
      <c r="F466" s="324" t="str">
        <f aca="false">LEFT('LT records'!$E466,3)</f>
        <v>CSH</v>
      </c>
      <c r="G466" s="354" t="str">
        <f aca="false">IF(OR('LT records'!$F466="MyF", 'LT records'!$F466="DEP"),"DEP",IF('LT records'!$F466="CSH","CSH",IF('LT records'!$F466="BON","BND",IF('LT records'!$F466="Sma","MKT",IF(OR('LT records'!$F466="Val", 'LT records'!$F466="EUR"),"FCY",IF('LT records'!$F466="X-P","PP3",IF('LT records'!$F466="X-m","XAU","???")))))))</f>
        <v>CSH</v>
      </c>
      <c r="H466" s="325" t="n">
        <v>50</v>
      </c>
      <c r="I466" s="340" t="n">
        <v>1.21</v>
      </c>
      <c r="J466" s="340"/>
      <c r="K466" s="340"/>
      <c r="L466" s="341" t="s">
        <v>530</v>
      </c>
      <c r="M466" s="350" t="str">
        <f aca="false">YEAR('LT records'!$B466)&amp;"-"&amp;MONTH('LT records'!$B466)</f>
        <v>2018-11</v>
      </c>
      <c r="N466" s="343" t="n">
        <f aca="false">'LT records'!$H466+'LT records'!$I466</f>
        <v>51.21</v>
      </c>
      <c r="O466" s="326"/>
      <c r="P466" s="324"/>
      <c r="R466" s="327"/>
    </row>
    <row r="467" customFormat="false" ht="12.8" hidden="false" customHeight="false" outlineLevel="0" collapsed="false">
      <c r="B467" s="351" t="n">
        <v>43432</v>
      </c>
      <c r="C467" s="348" t="n">
        <f aca="false">YEAR('LT records'!$B467)</f>
        <v>2018</v>
      </c>
      <c r="D467" s="346" t="str">
        <f aca="false">'LT records'!$C467&amp;"-"&amp;MONTH('LT records'!$B467)</f>
        <v>2018-11</v>
      </c>
      <c r="E467" s="324" t="s">
        <v>444</v>
      </c>
      <c r="F467" s="324" t="str">
        <f aca="false">LEFT('LT records'!$E467,3)</f>
        <v>Val</v>
      </c>
      <c r="G467" s="354" t="str">
        <f aca="false">IF(OR('LT records'!$F467="MyF", 'LT records'!$F467="DEP"),"DEP",IF('LT records'!$F467="CSH","CSH",IF('LT records'!$F467="BON","BND",IF('LT records'!$F467="Sma","MKT",IF(OR('LT records'!$F467="Val", 'LT records'!$F467="EUR"),"FCY",IF('LT records'!$F467="X-P","PP3",IF('LT records'!$F467="X-m","XAU","???")))))))</f>
        <v>FCY</v>
      </c>
      <c r="H467" s="325" t="n">
        <v>0</v>
      </c>
      <c r="I467" s="340"/>
      <c r="J467" s="340"/>
      <c r="K467" s="340" t="n">
        <v>0.35</v>
      </c>
      <c r="L467" s="341" t="s">
        <v>40</v>
      </c>
      <c r="M467" s="350" t="str">
        <f aca="false">YEAR('LT records'!$B467)&amp;"-"&amp;MONTH('LT records'!$B467)</f>
        <v>2018-11</v>
      </c>
      <c r="N467" s="343" t="n">
        <f aca="false">'LT records'!$H467+'LT records'!$I467</f>
        <v>0</v>
      </c>
      <c r="O467" s="326"/>
      <c r="P467" s="324"/>
      <c r="R467" s="327"/>
    </row>
    <row r="468" customFormat="false" ht="12.8" hidden="false" customHeight="false" outlineLevel="0" collapsed="false">
      <c r="B468" s="351" t="n">
        <v>43438</v>
      </c>
      <c r="C468" s="348" t="n">
        <f aca="false">YEAR('LT records'!$B468)</f>
        <v>2018</v>
      </c>
      <c r="D468" s="346" t="str">
        <f aca="false">'LT records'!$C468&amp;"-"&amp;MONTH('LT records'!$B468)</f>
        <v>2018-12</v>
      </c>
      <c r="E468" s="324" t="s">
        <v>308</v>
      </c>
      <c r="F468" s="324" t="str">
        <f aca="false">LEFT('LT records'!$E468,3)</f>
        <v>DEP</v>
      </c>
      <c r="G468" s="354" t="str">
        <f aca="false">IF(OR('LT records'!$F468="MyF", 'LT records'!$F468="DEP"),"DEP",IF('LT records'!$F468="CSH","CSH",IF('LT records'!$F468="BON","BND",IF('LT records'!$F468="Sma","MKT",IF(OR('LT records'!$F468="Val", 'LT records'!$F468="EUR"),"FCY",IF('LT records'!$F468="X-P","PP3",IF('LT records'!$F468="X-m","XAU","???")))))))</f>
        <v>DEP</v>
      </c>
      <c r="H468" s="325" t="n">
        <v>0</v>
      </c>
      <c r="I468" s="340" t="n">
        <f aca="false">85.23-8.52</f>
        <v>76.71</v>
      </c>
      <c r="J468" s="340"/>
      <c r="K468" s="340"/>
      <c r="L468" s="341" t="s">
        <v>534</v>
      </c>
      <c r="M468" s="350" t="str">
        <f aca="false">YEAR('LT records'!$B468)&amp;"-"&amp;MONTH('LT records'!$B468)</f>
        <v>2018-12</v>
      </c>
      <c r="N468" s="343" t="n">
        <f aca="false">'LT records'!$H468+'LT records'!$I468</f>
        <v>76.71</v>
      </c>
      <c r="O468" s="326"/>
      <c r="P468" s="324"/>
      <c r="R468" s="327"/>
    </row>
    <row r="469" customFormat="false" ht="12.8" hidden="false" customHeight="false" outlineLevel="0" collapsed="false">
      <c r="B469" s="351" t="n">
        <v>43438</v>
      </c>
      <c r="C469" s="348" t="n">
        <f aca="false">YEAR('LT records'!$B469)</f>
        <v>2018</v>
      </c>
      <c r="D469" s="346" t="str">
        <f aca="false">'LT records'!$C469&amp;"-"&amp;MONTH('LT records'!$B469)</f>
        <v>2018-12</v>
      </c>
      <c r="E469" s="324" t="s">
        <v>444</v>
      </c>
      <c r="F469" s="324" t="str">
        <f aca="false">LEFT('LT records'!$E469,3)</f>
        <v>Val</v>
      </c>
      <c r="G469" s="354" t="str">
        <f aca="false">IF(OR('LT records'!$F469="MyF", 'LT records'!$F469="DEP"),"DEP",IF('LT records'!$F469="CSH","CSH",IF('LT records'!$F469="BON","BND",IF('LT records'!$F469="Sma","MKT",IF(OR('LT records'!$F469="Val", 'LT records'!$F469="EUR"),"FCY",IF('LT records'!$F469="X-P","PP3",IF('LT records'!$F469="X-m","XAU","???")))))))</f>
        <v>FCY</v>
      </c>
      <c r="H469" s="325" t="n">
        <v>0</v>
      </c>
      <c r="I469" s="340"/>
      <c r="J469" s="340" t="n">
        <v>-800</v>
      </c>
      <c r="K469" s="340"/>
      <c r="L469" s="341" t="s">
        <v>535</v>
      </c>
      <c r="M469" s="350" t="str">
        <f aca="false">YEAR('LT records'!$B469)&amp;"-"&amp;MONTH('LT records'!$B469)</f>
        <v>2018-12</v>
      </c>
      <c r="N469" s="343" t="n">
        <f aca="false">'LT records'!$H469+'LT records'!$I469</f>
        <v>0</v>
      </c>
      <c r="O469" s="326"/>
      <c r="P469" s="324"/>
      <c r="R469" s="327"/>
    </row>
    <row r="470" customFormat="false" ht="12.8" hidden="false" customHeight="false" outlineLevel="0" collapsed="false">
      <c r="B470" s="351" t="n">
        <v>43438</v>
      </c>
      <c r="C470" s="348" t="n">
        <f aca="false">YEAR('LT records'!$B470)</f>
        <v>2018</v>
      </c>
      <c r="D470" s="346" t="str">
        <f aca="false">'LT records'!$C470&amp;"-"&amp;MONTH('LT records'!$B470)</f>
        <v>2018-12</v>
      </c>
      <c r="E470" s="324" t="s">
        <v>536</v>
      </c>
      <c r="F470" s="324" t="str">
        <f aca="false">LEFT('LT records'!$E470,3)</f>
        <v>EUR</v>
      </c>
      <c r="G470" s="354" t="str">
        <f aca="false">IF(OR('LT records'!$F470="MyF", 'LT records'!$F470="DEP"),"DEP",IF('LT records'!$F470="CSH","CSH",IF('LT records'!$F470="BON","BND",IF('LT records'!$F470="Sma","MKT",IF(OR('LT records'!$F470="Val", 'LT records'!$F470="EUR"),"FCY",IF('LT records'!$F470="X-P","PP3",IF('LT records'!$F470="X-m","XAU","???")))))))</f>
        <v>FCY</v>
      </c>
      <c r="H470" s="325" t="n">
        <v>0</v>
      </c>
      <c r="I470" s="340"/>
      <c r="J470" s="340" t="n">
        <v>800</v>
      </c>
      <c r="K470" s="340"/>
      <c r="L470" s="341" t="s">
        <v>449</v>
      </c>
      <c r="M470" s="350" t="str">
        <f aca="false">YEAR('LT records'!$B470)&amp;"-"&amp;MONTH('LT records'!$B470)</f>
        <v>2018-12</v>
      </c>
      <c r="N470" s="343" t="n">
        <f aca="false">'LT records'!$H470+'LT records'!$I470</f>
        <v>0</v>
      </c>
      <c r="O470" s="326"/>
      <c r="P470" s="324"/>
      <c r="R470" s="327"/>
    </row>
    <row r="471" customFormat="false" ht="12.8" hidden="false" customHeight="false" outlineLevel="0" collapsed="false">
      <c r="B471" s="351" t="n">
        <v>43441</v>
      </c>
      <c r="C471" s="348" t="n">
        <f aca="false">YEAR('LT records'!$B471)</f>
        <v>2018</v>
      </c>
      <c r="D471" s="346" t="str">
        <f aca="false">'LT records'!$C471&amp;"-"&amp;MONTH('LT records'!$B471)</f>
        <v>2018-12</v>
      </c>
      <c r="E471" s="324" t="s">
        <v>14</v>
      </c>
      <c r="F471" s="324" t="str">
        <f aca="false">LEFT('LT records'!$E471,3)</f>
        <v>CSH</v>
      </c>
      <c r="G471" s="354" t="str">
        <f aca="false">IF(OR('LT records'!$F471="MyF", 'LT records'!$F471="DEP"),"DEP",IF('LT records'!$F471="CSH","CSH",IF('LT records'!$F471="BON","BND",IF('LT records'!$F471="Sma","MKT",IF(OR('LT records'!$F471="Val", 'LT records'!$F471="EUR"),"FCY",IF('LT records'!$F471="X-P","PP3",IF('LT records'!$F471="X-m","XAU","???")))))))</f>
        <v>CSH</v>
      </c>
      <c r="H471" s="325" t="n">
        <v>1442</v>
      </c>
      <c r="I471" s="340"/>
      <c r="J471" s="340"/>
      <c r="K471" s="340"/>
      <c r="L471" s="341" t="s">
        <v>537</v>
      </c>
      <c r="M471" s="350" t="str">
        <f aca="false">YEAR('LT records'!$B471)&amp;"-"&amp;MONTH('LT records'!$B471)</f>
        <v>2018-12</v>
      </c>
      <c r="N471" s="343" t="n">
        <f aca="false">'LT records'!$H471+'LT records'!$I471</f>
        <v>1442</v>
      </c>
      <c r="O471" s="326"/>
      <c r="P471" s="324"/>
      <c r="R471" s="327"/>
    </row>
    <row r="472" customFormat="false" ht="12.8" hidden="false" customHeight="false" outlineLevel="0" collapsed="false">
      <c r="B472" s="351" t="n">
        <v>43445</v>
      </c>
      <c r="C472" s="348" t="n">
        <f aca="false">YEAR('LT records'!$B472)</f>
        <v>2018</v>
      </c>
      <c r="D472" s="346" t="str">
        <f aca="false">'LT records'!$C472&amp;"-"&amp;MONTH('LT records'!$B472)</f>
        <v>2018-12</v>
      </c>
      <c r="E472" s="324" t="s">
        <v>14</v>
      </c>
      <c r="F472" s="324" t="str">
        <f aca="false">LEFT('LT records'!$E472,3)</f>
        <v>CSH</v>
      </c>
      <c r="G472" s="354" t="str">
        <f aca="false">IF(OR('LT records'!$F472="MyF", 'LT records'!$F472="DEP"),"DEP",IF('LT records'!$F472="CSH","CSH",IF('LT records'!$F472="BON","BND",IF('LT records'!$F472="Sma","MKT",IF(OR('LT records'!$F472="Val", 'LT records'!$F472="EUR"),"FCY",IF('LT records'!$F472="X-P","PP3",IF('LT records'!$F472="X-m","XAU","???")))))))</f>
        <v>CSH</v>
      </c>
      <c r="H472" s="325" t="n">
        <v>-1480</v>
      </c>
      <c r="I472" s="340"/>
      <c r="J472" s="340"/>
      <c r="K472" s="340"/>
      <c r="L472" s="341" t="s">
        <v>538</v>
      </c>
      <c r="M472" s="350" t="str">
        <f aca="false">YEAR('LT records'!$B472)&amp;"-"&amp;MONTH('LT records'!$B472)</f>
        <v>2018-12</v>
      </c>
      <c r="N472" s="343" t="n">
        <f aca="false">'LT records'!$H472+'LT records'!$I472</f>
        <v>-1480</v>
      </c>
      <c r="O472" s="326"/>
      <c r="P472" s="324"/>
      <c r="R472" s="327"/>
    </row>
    <row r="473" customFormat="false" ht="12.8" hidden="false" customHeight="false" outlineLevel="0" collapsed="false">
      <c r="B473" s="351" t="n">
        <v>43452</v>
      </c>
      <c r="C473" s="348" t="n">
        <f aca="false">YEAR('LT records'!$B473)</f>
        <v>2018</v>
      </c>
      <c r="D473" s="346" t="str">
        <f aca="false">'LT records'!$C473&amp;"-"&amp;MONTH('LT records'!$B473)</f>
        <v>2018-12</v>
      </c>
      <c r="E473" s="324" t="s">
        <v>318</v>
      </c>
      <c r="F473" s="324" t="str">
        <f aca="false">LEFT('LT records'!$E473,3)</f>
        <v>X-P</v>
      </c>
      <c r="G473" s="354" t="str">
        <f aca="false">IF(OR('LT records'!$F473="MyF", 'LT records'!$F473="DEP"),"DEP",IF('LT records'!$F473="CSH","CSH",IF('LT records'!$F473="BON","BND",IF('LT records'!$F473="Sma","MKT",IF(OR('LT records'!$F473="Val", 'LT records'!$F473="EUR"),"FCY",IF('LT records'!$F473="X-P","PP3",IF('LT records'!$F473="X-m","XAU","???")))))))</f>
        <v>PP3</v>
      </c>
      <c r="H473" s="325" t="n">
        <v>150</v>
      </c>
      <c r="I473" s="340"/>
      <c r="J473" s="340"/>
      <c r="K473" s="340"/>
      <c r="L473" s="341" t="s">
        <v>527</v>
      </c>
      <c r="M473" s="350" t="str">
        <f aca="false">YEAR('LT records'!$B473)&amp;"-"&amp;MONTH('LT records'!$B473)</f>
        <v>2018-12</v>
      </c>
      <c r="N473" s="343" t="n">
        <f aca="false">'LT records'!$H473+'LT records'!$I473</f>
        <v>150</v>
      </c>
      <c r="O473" s="326"/>
      <c r="P473" s="324"/>
      <c r="R473" s="327"/>
    </row>
    <row r="474" customFormat="false" ht="12.8" hidden="false" customHeight="false" outlineLevel="0" collapsed="false">
      <c r="B474" s="351" t="n">
        <v>43451</v>
      </c>
      <c r="C474" s="348" t="n">
        <f aca="false">YEAR('LT records'!$B474)</f>
        <v>2018</v>
      </c>
      <c r="D474" s="346" t="str">
        <f aca="false">'LT records'!$C474&amp;"-"&amp;MONTH('LT records'!$B474)</f>
        <v>2018-12</v>
      </c>
      <c r="E474" s="324" t="s">
        <v>14</v>
      </c>
      <c r="F474" s="324" t="str">
        <f aca="false">LEFT('LT records'!$E474,3)</f>
        <v>CSH</v>
      </c>
      <c r="G474" s="354" t="str">
        <f aca="false">IF(OR('LT records'!$F474="MyF", 'LT records'!$F474="DEP"),"DEP",IF('LT records'!$F474="CSH","CSH",IF('LT records'!$F474="BON","BND",IF('LT records'!$F474="Sma","MKT",IF(OR('LT records'!$F474="Val", 'LT records'!$F474="EUR"),"FCY",IF('LT records'!$F474="X-P","PP3",IF('LT records'!$F474="X-m","XAU","???")))))))</f>
        <v>CSH</v>
      </c>
      <c r="H474" s="325" t="n">
        <v>-2058</v>
      </c>
      <c r="I474" s="340"/>
      <c r="J474" s="340"/>
      <c r="K474" s="340"/>
      <c r="L474" s="341" t="s">
        <v>539</v>
      </c>
      <c r="M474" s="350" t="str">
        <f aca="false">YEAR('LT records'!$B474)&amp;"-"&amp;MONTH('LT records'!$B474)</f>
        <v>2018-12</v>
      </c>
      <c r="N474" s="343" t="n">
        <f aca="false">'LT records'!$H474+'LT records'!$I474</f>
        <v>-2058</v>
      </c>
      <c r="O474" s="326"/>
      <c r="P474" s="324"/>
      <c r="R474" s="327"/>
    </row>
    <row r="475" customFormat="false" ht="12.8" hidden="false" customHeight="false" outlineLevel="0" collapsed="false">
      <c r="B475" s="351" t="n">
        <v>43451</v>
      </c>
      <c r="C475" s="348" t="n">
        <f aca="false">YEAR('LT records'!$B475)</f>
        <v>2018</v>
      </c>
      <c r="D475" s="346" t="str">
        <f aca="false">'LT records'!$C475&amp;"-"&amp;MONTH('LT records'!$B475)</f>
        <v>2018-12</v>
      </c>
      <c r="E475" s="324" t="s">
        <v>540</v>
      </c>
      <c r="F475" s="324" t="str">
        <f aca="false">LEFT('LT records'!$E475,3)</f>
        <v>dep</v>
      </c>
      <c r="G475" s="354" t="str">
        <f aca="false">IF(OR('LT records'!$F475="MyF", 'LT records'!$F475="DEP"),"DEP",IF('LT records'!$F475="CSH","CSH",IF('LT records'!$F475="BON","BND",IF('LT records'!$F475="Sma","MKT",IF(OR('LT records'!$F475="Val", 'LT records'!$F475="EUR"),"FCY",IF('LT records'!$F475="X-P","PP3",IF('LT records'!$F475="X-m","XAU","???")))))))</f>
        <v>DEP</v>
      </c>
      <c r="H475" s="325" t="n">
        <v>5000</v>
      </c>
      <c r="I475" s="340"/>
      <c r="J475" s="340"/>
      <c r="K475" s="340"/>
      <c r="L475" s="341" t="s">
        <v>541</v>
      </c>
      <c r="M475" s="350" t="str">
        <f aca="false">YEAR('LT records'!$B475)&amp;"-"&amp;MONTH('LT records'!$B475)</f>
        <v>2018-12</v>
      </c>
      <c r="N475" s="343" t="n">
        <f aca="false">'LT records'!$H475+'LT records'!$I475</f>
        <v>5000</v>
      </c>
      <c r="O475" s="326"/>
      <c r="P475" s="324"/>
      <c r="R475" s="327"/>
    </row>
    <row r="476" customFormat="false" ht="12.8" hidden="false" customHeight="false" outlineLevel="0" collapsed="false">
      <c r="B476" s="351" t="n">
        <v>43455</v>
      </c>
      <c r="C476" s="348" t="n">
        <f aca="false">YEAR('LT records'!$B476)</f>
        <v>2018</v>
      </c>
      <c r="D476" s="346" t="str">
        <f aca="false">'LT records'!$C476&amp;"-"&amp;MONTH('LT records'!$B476)</f>
        <v>2018-12</v>
      </c>
      <c r="E476" s="324" t="s">
        <v>444</v>
      </c>
      <c r="F476" s="324" t="str">
        <f aca="false">LEFT('LT records'!$E476,3)</f>
        <v>Val</v>
      </c>
      <c r="G476" s="354" t="str">
        <f aca="false">IF(OR('LT records'!$F476="MyF", 'LT records'!$F476="DEP"),"DEP",IF('LT records'!$F476="CSH","CSH",IF('LT records'!$F476="BON","BND",IF('LT records'!$F476="Sma","MKT",IF(OR('LT records'!$F476="Val", 'LT records'!$F476="EUR"),"FCY",IF('LT records'!$F476="X-P","PP3",IF('LT records'!$F476="X-m","XAU","???")))))))</f>
        <v>FCY</v>
      </c>
      <c r="H476" s="325" t="n">
        <v>233.59</v>
      </c>
      <c r="I476" s="340"/>
      <c r="J476" s="340" t="n">
        <v>50</v>
      </c>
      <c r="K476" s="340"/>
      <c r="L476" s="341" t="s">
        <v>542</v>
      </c>
      <c r="M476" s="350" t="str">
        <f aca="false">YEAR('LT records'!$B476)&amp;"-"&amp;MONTH('LT records'!$B476)</f>
        <v>2018-12</v>
      </c>
      <c r="N476" s="343" t="n">
        <f aca="false">'LT records'!$H476+'LT records'!$I476</f>
        <v>233.59</v>
      </c>
      <c r="O476" s="326"/>
      <c r="P476" s="324"/>
      <c r="R476" s="327"/>
    </row>
    <row r="477" customFormat="false" ht="12.8" hidden="false" customHeight="false" outlineLevel="0" collapsed="false">
      <c r="B477" s="351" t="n">
        <v>43455</v>
      </c>
      <c r="C477" s="348" t="n">
        <f aca="false">YEAR('LT records'!$B477)</f>
        <v>2018</v>
      </c>
      <c r="D477" s="346" t="str">
        <f aca="false">'LT records'!$C477&amp;"-"&amp;MONTH('LT records'!$B477)</f>
        <v>2018-12</v>
      </c>
      <c r="E477" s="324" t="s">
        <v>14</v>
      </c>
      <c r="F477" s="324" t="str">
        <f aca="false">LEFT('LT records'!$E477,3)</f>
        <v>CSH</v>
      </c>
      <c r="G477" s="354" t="str">
        <f aca="false">IF(OR('LT records'!$F477="MyF", 'LT records'!$F477="DEP"),"DEP",IF('LT records'!$F477="CSH","CSH",IF('LT records'!$F477="BON","BND",IF('LT records'!$F477="Sma","MKT",IF(OR('LT records'!$F477="Val", 'LT records'!$F477="EUR"),"FCY",IF('LT records'!$F477="X-P","PP3",IF('LT records'!$F477="X-m","XAU","???")))))))</f>
        <v>CSH</v>
      </c>
      <c r="H477" s="325" t="n">
        <v>827.41</v>
      </c>
      <c r="I477" s="340"/>
      <c r="J477" s="340"/>
      <c r="K477" s="340"/>
      <c r="L477" s="341" t="s">
        <v>56</v>
      </c>
      <c r="M477" s="350" t="str">
        <f aca="false">YEAR('LT records'!$B477)&amp;"-"&amp;MONTH('LT records'!$B477)</f>
        <v>2018-12</v>
      </c>
      <c r="N477" s="343" t="n">
        <f aca="false">'LT records'!$H477+'LT records'!$I477</f>
        <v>827.41</v>
      </c>
      <c r="O477" s="326"/>
      <c r="P477" s="324"/>
      <c r="R477" s="327"/>
    </row>
    <row r="478" customFormat="false" ht="12.8" hidden="false" customHeight="false" outlineLevel="0" collapsed="false">
      <c r="B478" s="351" t="n">
        <v>43459</v>
      </c>
      <c r="C478" s="348" t="n">
        <f aca="false">YEAR('LT records'!$B478)</f>
        <v>2018</v>
      </c>
      <c r="D478" s="346" t="str">
        <f aca="false">'LT records'!$C478&amp;"-"&amp;MONTH('LT records'!$B478)</f>
        <v>2018-12</v>
      </c>
      <c r="E478" s="324" t="s">
        <v>493</v>
      </c>
      <c r="F478" s="324" t="str">
        <f aca="false">LEFT('LT records'!$E478,3)</f>
        <v>dep</v>
      </c>
      <c r="G478" s="354" t="str">
        <f aca="false">IF(OR('LT records'!$F478="MyF", 'LT records'!$F478="DEP"),"DEP",IF('LT records'!$F478="CSH","CSH",IF('LT records'!$F478="BON","BND",IF('LT records'!$F478="Sma","MKT",IF(OR('LT records'!$F478="Val", 'LT records'!$F478="EUR"),"FCY",IF('LT records'!$F478="X-P","PP3",IF('LT records'!$F478="X-m","XAU","???")))))))</f>
        <v>DEP</v>
      </c>
      <c r="H478" s="325" t="n">
        <v>-5042.87</v>
      </c>
      <c r="I478" s="340" t="n">
        <v>42.87</v>
      </c>
      <c r="J478" s="340"/>
      <c r="K478" s="340"/>
      <c r="L478" s="341" t="s">
        <v>543</v>
      </c>
      <c r="M478" s="350" t="str">
        <f aca="false">YEAR('LT records'!$B478)&amp;"-"&amp;MONTH('LT records'!$B478)</f>
        <v>2018-12</v>
      </c>
      <c r="N478" s="343" t="n">
        <f aca="false">'LT records'!$H478+'LT records'!$I478</f>
        <v>-5000</v>
      </c>
      <c r="O478" s="326"/>
      <c r="P478" s="324"/>
      <c r="R478" s="327"/>
    </row>
    <row r="479" customFormat="false" ht="12.8" hidden="false" customHeight="false" outlineLevel="0" collapsed="false">
      <c r="B479" s="351" t="n">
        <v>43459</v>
      </c>
      <c r="C479" s="348" t="n">
        <f aca="false">YEAR('LT records'!$B479)</f>
        <v>2018</v>
      </c>
      <c r="D479" s="346" t="str">
        <f aca="false">'LT records'!$C479&amp;"-"&amp;MONTH('LT records'!$B479)</f>
        <v>2018-12</v>
      </c>
      <c r="E479" s="324" t="s">
        <v>14</v>
      </c>
      <c r="F479" s="324" t="str">
        <f aca="false">LEFT('LT records'!$E479,3)</f>
        <v>CSH</v>
      </c>
      <c r="G479" s="354" t="str">
        <f aca="false">IF(OR('LT records'!$F479="MyF", 'LT records'!$F479="DEP"),"DEP",IF('LT records'!$F479="CSH","CSH",IF('LT records'!$F479="BON","BND",IF('LT records'!$F479="Sma","MKT",IF(OR('LT records'!$F479="Val", 'LT records'!$F479="EUR"),"FCY",IF('LT records'!$F479="X-P","PP3",IF('LT records'!$F479="X-m","XAU","???")))))))</f>
        <v>CSH</v>
      </c>
      <c r="H479" s="325" t="n">
        <v>5042.87</v>
      </c>
      <c r="I479" s="340"/>
      <c r="J479" s="340"/>
      <c r="K479" s="340"/>
      <c r="L479" s="341" t="s">
        <v>544</v>
      </c>
      <c r="M479" s="350" t="str">
        <f aca="false">YEAR('LT records'!$B479)&amp;"-"&amp;MONTH('LT records'!$B479)</f>
        <v>2018-12</v>
      </c>
      <c r="N479" s="343" t="n">
        <f aca="false">'LT records'!$H479+'LT records'!$I479</f>
        <v>5042.87</v>
      </c>
      <c r="O479" s="326"/>
      <c r="P479" s="324"/>
      <c r="R479" s="327"/>
    </row>
    <row r="480" customFormat="false" ht="12.8" hidden="false" customHeight="false" outlineLevel="0" collapsed="false">
      <c r="B480" s="351" t="n">
        <v>43459</v>
      </c>
      <c r="C480" s="348" t="n">
        <f aca="false">YEAR('LT records'!$B480)</f>
        <v>2018</v>
      </c>
      <c r="D480" s="346" t="str">
        <f aca="false">'LT records'!$C480&amp;"-"&amp;MONTH('LT records'!$B480)</f>
        <v>2018-12</v>
      </c>
      <c r="E480" s="324" t="s">
        <v>423</v>
      </c>
      <c r="F480" s="324" t="str">
        <f aca="false">LEFT('LT records'!$E480,3)</f>
        <v>Sma</v>
      </c>
      <c r="G480" s="354" t="str">
        <f aca="false">IF(OR('LT records'!$F480="MyF", 'LT records'!$F480="DEP"),"DEP",IF('LT records'!$F480="CSH","CSH",IF('LT records'!$F480="BON","BND",IF('LT records'!$F480="Sma","MKT",IF(OR('LT records'!$F480="Val", 'LT records'!$F480="EUR"),"FCY",IF('LT records'!$F480="X-P","PP3",IF('LT records'!$F480="X-m","XAU","???")))))))</f>
        <v>MKT</v>
      </c>
      <c r="H480" s="325" t="n">
        <v>1100</v>
      </c>
      <c r="I480" s="340"/>
      <c r="J480" s="340"/>
      <c r="K480" s="340"/>
      <c r="L480" s="341" t="s">
        <v>460</v>
      </c>
      <c r="M480" s="350" t="str">
        <f aca="false">YEAR('LT records'!$B480)&amp;"-"&amp;MONTH('LT records'!$B480)</f>
        <v>2018-12</v>
      </c>
      <c r="N480" s="343" t="n">
        <f aca="false">'LT records'!$H480+'LT records'!$I480</f>
        <v>1100</v>
      </c>
      <c r="O480" s="326"/>
      <c r="P480" s="324"/>
      <c r="R480" s="327"/>
    </row>
    <row r="481" customFormat="false" ht="12.8" hidden="false" customHeight="false" outlineLevel="0" collapsed="false">
      <c r="B481" s="351" t="n">
        <v>43459</v>
      </c>
      <c r="C481" s="348" t="n">
        <f aca="false">YEAR('LT records'!$B481)</f>
        <v>2018</v>
      </c>
      <c r="D481" s="346" t="str">
        <f aca="false">'LT records'!$C481&amp;"-"&amp;MONTH('LT records'!$B481)</f>
        <v>2018-12</v>
      </c>
      <c r="E481" s="324" t="s">
        <v>318</v>
      </c>
      <c r="F481" s="324" t="str">
        <f aca="false">LEFT('LT records'!$E481,3)</f>
        <v>X-P</v>
      </c>
      <c r="G481" s="354" t="str">
        <f aca="false">IF(OR('LT records'!$F481="MyF", 'LT records'!$F481="DEP"),"DEP",IF('LT records'!$F481="CSH","CSH",IF('LT records'!$F481="BON","BND",IF('LT records'!$F481="Sma","MKT",IF(OR('LT records'!$F481="Val", 'LT records'!$F481="EUR"),"FCY",IF('LT records'!$F481="X-P","PP3",IF('LT records'!$F481="X-m","XAU","???")))))))</f>
        <v>PP3</v>
      </c>
      <c r="H481" s="325" t="n">
        <v>300</v>
      </c>
      <c r="I481" s="340"/>
      <c r="J481" s="340"/>
      <c r="K481" s="340"/>
      <c r="L481" s="341" t="s">
        <v>459</v>
      </c>
      <c r="M481" s="350" t="str">
        <f aca="false">YEAR('LT records'!$B481)&amp;"-"&amp;MONTH('LT records'!$B481)</f>
        <v>2018-12</v>
      </c>
      <c r="N481" s="343" t="n">
        <f aca="false">'LT records'!$H481+'LT records'!$I481</f>
        <v>300</v>
      </c>
      <c r="O481" s="326"/>
      <c r="P481" s="324"/>
      <c r="R481" s="327"/>
    </row>
    <row r="482" customFormat="false" ht="12.8" hidden="false" customHeight="false" outlineLevel="0" collapsed="false">
      <c r="B482" s="351" t="n">
        <v>43462</v>
      </c>
      <c r="C482" s="348" t="n">
        <f aca="false">YEAR('LT records'!$B482)</f>
        <v>2018</v>
      </c>
      <c r="D482" s="346" t="str">
        <f aca="false">'LT records'!$C482&amp;"-"&amp;MONTH('LT records'!$B482)</f>
        <v>2018-12</v>
      </c>
      <c r="E482" s="324" t="s">
        <v>444</v>
      </c>
      <c r="F482" s="324" t="str">
        <f aca="false">LEFT('LT records'!$E482,3)</f>
        <v>Val</v>
      </c>
      <c r="G482" s="354" t="str">
        <f aca="false">IF(OR('LT records'!$F482="MyF", 'LT records'!$F482="DEP"),"DEP",IF('LT records'!$F482="CSH","CSH",IF('LT records'!$F482="BON","BND",IF('LT records'!$F482="Sma","MKT",IF(OR('LT records'!$F482="Val", 'LT records'!$F482="EUR"),"FCY",IF('LT records'!$F482="X-P","PP3",IF('LT records'!$F482="X-m","XAU","???")))))))</f>
        <v>FCY</v>
      </c>
      <c r="H482" s="325" t="n">
        <v>0</v>
      </c>
      <c r="I482" s="340"/>
      <c r="J482" s="340"/>
      <c r="K482" s="340" t="n">
        <v>0.3</v>
      </c>
      <c r="L482" s="341" t="s">
        <v>40</v>
      </c>
      <c r="M482" s="350" t="str">
        <f aca="false">YEAR('LT records'!$B482)&amp;"-"&amp;MONTH('LT records'!$B482)</f>
        <v>2018-12</v>
      </c>
      <c r="N482" s="343" t="n">
        <f aca="false">'LT records'!$H482+'LT records'!$I482</f>
        <v>0</v>
      </c>
      <c r="O482" s="326"/>
      <c r="P482" s="324"/>
      <c r="R482" s="327"/>
    </row>
    <row r="483" customFormat="false" ht="12.8" hidden="false" customHeight="false" outlineLevel="0" collapsed="false">
      <c r="B483" s="351" t="n">
        <v>43462</v>
      </c>
      <c r="C483" s="348" t="n">
        <f aca="false">YEAR('LT records'!$B483)</f>
        <v>2018</v>
      </c>
      <c r="D483" s="346" t="str">
        <f aca="false">'LT records'!$C483&amp;"-"&amp;MONTH('LT records'!$B483)</f>
        <v>2018-12</v>
      </c>
      <c r="E483" s="324" t="s">
        <v>14</v>
      </c>
      <c r="F483" s="324" t="str">
        <f aca="false">LEFT('LT records'!$E483,3)</f>
        <v>CSH</v>
      </c>
      <c r="G483" s="354" t="str">
        <f aca="false">IF(OR('LT records'!$F483="MyF", 'LT records'!$F483="DEP"),"DEP",IF('LT records'!$F483="CSH","CSH",IF('LT records'!$F483="BON","BND",IF('LT records'!$F483="Sma","MKT",IF(OR('LT records'!$F483="Val", 'LT records'!$F483="EUR"),"FCY",IF('LT records'!$F483="X-P","PP3",IF('LT records'!$F483="X-m","XAU","???")))))))</f>
        <v>CSH</v>
      </c>
      <c r="H483" s="325" t="n">
        <v>50</v>
      </c>
      <c r="I483" s="340" t="n">
        <v>1.66</v>
      </c>
      <c r="J483" s="340"/>
      <c r="K483" s="340"/>
      <c r="L483" s="341" t="s">
        <v>545</v>
      </c>
      <c r="M483" s="350" t="str">
        <f aca="false">YEAR('LT records'!$B483)&amp;"-"&amp;MONTH('LT records'!$B483)</f>
        <v>2018-12</v>
      </c>
      <c r="N483" s="343" t="n">
        <f aca="false">'LT records'!$H483+'LT records'!$I483</f>
        <v>51.66</v>
      </c>
      <c r="O483" s="326"/>
      <c r="P483" s="324"/>
      <c r="R483" s="327"/>
    </row>
    <row r="484" customFormat="false" ht="12.8" hidden="false" customHeight="false" outlineLevel="0" collapsed="false">
      <c r="B484" s="351" t="n">
        <v>43466</v>
      </c>
      <c r="C484" s="348" t="n">
        <f aca="false">YEAR('LT records'!$B484)</f>
        <v>2019</v>
      </c>
      <c r="D484" s="346" t="str">
        <f aca="false">'LT records'!$C484&amp;"-"&amp;MONTH('LT records'!$B484)</f>
        <v>2019-1</v>
      </c>
      <c r="E484" s="324" t="s">
        <v>14</v>
      </c>
      <c r="F484" s="324" t="str">
        <f aca="false">LEFT('LT records'!$E484,3)</f>
        <v>CSH</v>
      </c>
      <c r="G484" s="354" t="str">
        <f aca="false">IF(OR('LT records'!$F484="MyF", 'LT records'!$F484="DEP"),"DEP",IF('LT records'!$F484="CSH","CSH",IF('LT records'!$F484="BON","BND",IF('LT records'!$F484="Sma","MKT",IF(OR('LT records'!$F484="Val", 'LT records'!$F484="EUR"),"FCY",IF('LT records'!$F484="X-P","PP3",IF('LT records'!$F484="X-m","XAU","???")))))))</f>
        <v>CSH</v>
      </c>
      <c r="H484" s="325" t="n">
        <v>2</v>
      </c>
      <c r="I484" s="340"/>
      <c r="J484" s="340"/>
      <c r="K484" s="340"/>
      <c r="L484" s="341" t="s">
        <v>56</v>
      </c>
      <c r="M484" s="350" t="str">
        <f aca="false">YEAR('LT records'!$B484)&amp;"-"&amp;MONTH('LT records'!$B484)</f>
        <v>2019-1</v>
      </c>
      <c r="N484" s="343" t="n">
        <f aca="false">'LT records'!$H484+'LT records'!$I484</f>
        <v>2</v>
      </c>
      <c r="O484" s="326"/>
      <c r="P484" s="324"/>
      <c r="R484" s="327"/>
    </row>
    <row r="485" customFormat="false" ht="12.8" hidden="false" customHeight="false" outlineLevel="0" collapsed="false">
      <c r="B485" s="351" t="n">
        <v>43468</v>
      </c>
      <c r="C485" s="348" t="n">
        <f aca="false">YEAR('LT records'!$B485)</f>
        <v>2019</v>
      </c>
      <c r="D485" s="346" t="str">
        <f aca="false">'LT records'!$C485&amp;"-"&amp;MONTH('LT records'!$B485)</f>
        <v>2019-1</v>
      </c>
      <c r="E485" s="324" t="s">
        <v>14</v>
      </c>
      <c r="F485" s="324" t="str">
        <f aca="false">LEFT('LT records'!$E485,3)</f>
        <v>CSH</v>
      </c>
      <c r="G485" s="354" t="str">
        <f aca="false">IF(OR('LT records'!$F485="MyF", 'LT records'!$F485="DEP"),"DEP",IF('LT records'!$F485="CSH","CSH",IF('LT records'!$F485="BON","BND",IF('LT records'!$F485="Sma","MKT",IF(OR('LT records'!$F485="Val", 'LT records'!$F485="EUR"),"FCY",IF('LT records'!$F485="X-P","PP3",IF('LT records'!$F485="X-m","XAU","???")))))))</f>
        <v>CSH</v>
      </c>
      <c r="H485" s="325" t="n">
        <v>-1700</v>
      </c>
      <c r="I485" s="340"/>
      <c r="J485" s="340"/>
      <c r="K485" s="340"/>
      <c r="L485" s="341" t="s">
        <v>546</v>
      </c>
      <c r="M485" s="350" t="str">
        <f aca="false">YEAR('LT records'!$B485)&amp;"-"&amp;MONTH('LT records'!$B485)</f>
        <v>2019-1</v>
      </c>
      <c r="N485" s="343" t="n">
        <f aca="false">'LT records'!$H485+'LT records'!$I485</f>
        <v>-1700</v>
      </c>
      <c r="O485" s="326"/>
      <c r="P485" s="324"/>
      <c r="R485" s="327"/>
    </row>
    <row r="486" customFormat="false" ht="12.8" hidden="false" customHeight="false" outlineLevel="0" collapsed="false">
      <c r="B486" s="351" t="n">
        <v>43468</v>
      </c>
      <c r="C486" s="348" t="n">
        <f aca="false">YEAR('LT records'!$B486)</f>
        <v>2019</v>
      </c>
      <c r="D486" s="346" t="str">
        <f aca="false">'LT records'!$C486&amp;"-"&amp;MONTH('LT records'!$B486)</f>
        <v>2019-1</v>
      </c>
      <c r="E486" s="324" t="s">
        <v>291</v>
      </c>
      <c r="F486" s="324" t="str">
        <f aca="false">LEFT('LT records'!$E486,3)</f>
        <v>DEP</v>
      </c>
      <c r="G486" s="354" t="str">
        <f aca="false">IF(OR('LT records'!$F486="MyF", 'LT records'!$F486="DEP"),"DEP",IF('LT records'!$F486="CSH","CSH",IF('LT records'!$F486="BON","BND",IF('LT records'!$F486="Sma","MKT",IF(OR('LT records'!$F486="Val", 'LT records'!$F486="EUR"),"FCY",IF('LT records'!$F486="X-P","PP3",IF('LT records'!$F486="X-m","XAU","???")))))))</f>
        <v>DEP</v>
      </c>
      <c r="H486" s="325" t="n">
        <v>1700</v>
      </c>
      <c r="I486" s="340" t="n">
        <v>63</v>
      </c>
      <c r="J486" s="340"/>
      <c r="K486" s="340"/>
      <c r="L486" s="341" t="s">
        <v>547</v>
      </c>
      <c r="M486" s="350" t="str">
        <f aca="false">YEAR('LT records'!$B486)&amp;"-"&amp;MONTH('LT records'!$B486)</f>
        <v>2019-1</v>
      </c>
      <c r="N486" s="343" t="n">
        <f aca="false">'LT records'!$H486+'LT records'!$I486</f>
        <v>1763</v>
      </c>
      <c r="O486" s="326"/>
      <c r="P486" s="324"/>
      <c r="R486" s="327"/>
    </row>
    <row r="487" customFormat="false" ht="12.8" hidden="false" customHeight="false" outlineLevel="0" collapsed="false">
      <c r="B487" s="351" t="n">
        <v>43468</v>
      </c>
      <c r="C487" s="348" t="n">
        <f aca="false">YEAR('LT records'!$B487)</f>
        <v>2019</v>
      </c>
      <c r="D487" s="346" t="str">
        <f aca="false">'LT records'!$C487&amp;"-"&amp;MONTH('LT records'!$B487)</f>
        <v>2019-1</v>
      </c>
      <c r="E487" s="324" t="s">
        <v>444</v>
      </c>
      <c r="F487" s="324" t="str">
        <f aca="false">LEFT('LT records'!$E487,3)</f>
        <v>Val</v>
      </c>
      <c r="G487" s="354" t="str">
        <f aca="false">IF(OR('LT records'!$F487="MyF", 'LT records'!$F487="DEP"),"DEP",IF('LT records'!$F487="CSH","CSH",IF('LT records'!$F487="BON","BND",IF('LT records'!$F487="Sma","MKT",IF(OR('LT records'!$F487="Val", 'LT records'!$F487="EUR"),"FCY",IF('LT records'!$F487="X-P","PP3",IF('LT records'!$F487="X-m","XAU","???")))))))</f>
        <v>FCY</v>
      </c>
      <c r="H487" s="325" t="n">
        <v>0</v>
      </c>
      <c r="I487" s="340"/>
      <c r="J487" s="340" t="n">
        <v>-405</v>
      </c>
      <c r="K487" s="340"/>
      <c r="L487" s="341" t="s">
        <v>548</v>
      </c>
      <c r="M487" s="350" t="str">
        <f aca="false">YEAR('LT records'!$B487)&amp;"-"&amp;MONTH('LT records'!$B487)</f>
        <v>2019-1</v>
      </c>
      <c r="N487" s="343" t="n">
        <f aca="false">'LT records'!$H487+'LT records'!$I487</f>
        <v>0</v>
      </c>
      <c r="O487" s="326"/>
      <c r="P487" s="324"/>
      <c r="R487" s="327"/>
    </row>
    <row r="488" customFormat="false" ht="12.8" hidden="false" customHeight="false" outlineLevel="0" collapsed="false">
      <c r="B488" s="351" t="n">
        <v>43468</v>
      </c>
      <c r="C488" s="348" t="n">
        <f aca="false">YEAR('LT records'!$B488)</f>
        <v>2019</v>
      </c>
      <c r="D488" s="346" t="str">
        <f aca="false">'LT records'!$C488&amp;"-"&amp;MONTH('LT records'!$B488)</f>
        <v>2019-1</v>
      </c>
      <c r="E488" s="324" t="s">
        <v>549</v>
      </c>
      <c r="F488" s="324" t="str">
        <f aca="false">LEFT('LT records'!$E488,3)</f>
        <v>EUR</v>
      </c>
      <c r="G488" s="354" t="str">
        <f aca="false">IF(OR('LT records'!$F488="MyF", 'LT records'!$F488="DEP"),"DEP",IF('LT records'!$F488="CSH","CSH",IF('LT records'!$F488="BON","BND",IF('LT records'!$F488="Sma","MKT",IF(OR('LT records'!$F488="Val", 'LT records'!$F488="EUR"),"FCY",IF('LT records'!$F488="X-P","PP3",IF('LT records'!$F488="X-m","XAU","???")))))))</f>
        <v>FCY</v>
      </c>
      <c r="H488" s="325" t="n">
        <v>0</v>
      </c>
      <c r="I488" s="340"/>
      <c r="J488" s="340" t="n">
        <v>405</v>
      </c>
      <c r="K488" s="340"/>
      <c r="L488" s="341" t="s">
        <v>550</v>
      </c>
      <c r="M488" s="350" t="str">
        <f aca="false">YEAR('LT records'!$B488)&amp;"-"&amp;MONTH('LT records'!$B488)</f>
        <v>2019-1</v>
      </c>
      <c r="N488" s="343" t="n">
        <f aca="false">'LT records'!$H488+'LT records'!$I488</f>
        <v>0</v>
      </c>
      <c r="O488" s="326"/>
      <c r="P488" s="324"/>
      <c r="R488" s="327"/>
    </row>
    <row r="489" customFormat="false" ht="12.8" hidden="false" customHeight="false" outlineLevel="0" collapsed="false">
      <c r="B489" s="351" t="n">
        <v>43481</v>
      </c>
      <c r="C489" s="348" t="n">
        <f aca="false">YEAR('LT records'!$B489)</f>
        <v>2019</v>
      </c>
      <c r="D489" s="346" t="str">
        <f aca="false">'LT records'!$C489&amp;"-"&amp;MONTH('LT records'!$B489)</f>
        <v>2019-1</v>
      </c>
      <c r="E489" s="324" t="s">
        <v>318</v>
      </c>
      <c r="F489" s="324" t="str">
        <f aca="false">LEFT('LT records'!$E489,3)</f>
        <v>X-P</v>
      </c>
      <c r="G489" s="354" t="str">
        <f aca="false">IF(OR('LT records'!$F489="MyF", 'LT records'!$F489="DEP"),"DEP",IF('LT records'!$F489="CSH","CSH",IF('LT records'!$F489="BON","BND",IF('LT records'!$F489="Sma","MKT",IF(OR('LT records'!$F489="Val", 'LT records'!$F489="EUR"),"FCY",IF('LT records'!$F489="X-P","PP3",IF('LT records'!$F489="X-m","XAU","???")))))))</f>
        <v>PP3</v>
      </c>
      <c r="H489" s="325" t="n">
        <v>150</v>
      </c>
      <c r="I489" s="340"/>
      <c r="J489" s="340"/>
      <c r="K489" s="340"/>
      <c r="L489" s="353" t="s">
        <v>527</v>
      </c>
      <c r="M489" s="350" t="str">
        <f aca="false">YEAR('LT records'!$B489)&amp;"-"&amp;MONTH('LT records'!$B489)</f>
        <v>2019-1</v>
      </c>
      <c r="N489" s="343" t="n">
        <f aca="false">'LT records'!$H489+'LT records'!$I489</f>
        <v>150</v>
      </c>
      <c r="O489" s="326"/>
      <c r="P489" s="324"/>
      <c r="R489" s="327"/>
    </row>
    <row r="490" customFormat="false" ht="12.8" hidden="false" customHeight="false" outlineLevel="0" collapsed="false">
      <c r="B490" s="351" t="n">
        <v>43482</v>
      </c>
      <c r="C490" s="348" t="n">
        <f aca="false">YEAR('LT records'!$B490)</f>
        <v>2019</v>
      </c>
      <c r="D490" s="346" t="str">
        <f aca="false">'LT records'!$C490&amp;"-"&amp;MONTH('LT records'!$B490)</f>
        <v>2019-1</v>
      </c>
      <c r="E490" s="324" t="s">
        <v>14</v>
      </c>
      <c r="F490" s="324" t="str">
        <f aca="false">LEFT('LT records'!$E490,3)</f>
        <v>CSH</v>
      </c>
      <c r="G490" s="354" t="str">
        <f aca="false">IF(OR('LT records'!$F490="MyF", 'LT records'!$F490="DEP"),"DEP",IF('LT records'!$F490="CSH","CSH",IF('LT records'!$F490="BON","BND",IF('LT records'!$F490="Sma","MKT",IF(OR('LT records'!$F490="Val", 'LT records'!$F490="EUR"),"FCY",IF('LT records'!$F490="X-P","PP3",IF('LT records'!$F490="X-m","XAU","???")))))))</f>
        <v>CSH</v>
      </c>
      <c r="H490" s="325" t="n">
        <v>3000</v>
      </c>
      <c r="I490" s="340"/>
      <c r="J490" s="340"/>
      <c r="K490" s="340"/>
      <c r="L490" s="341" t="s">
        <v>56</v>
      </c>
      <c r="M490" s="350" t="str">
        <f aca="false">YEAR('LT records'!$B490)&amp;"-"&amp;MONTH('LT records'!$B490)</f>
        <v>2019-1</v>
      </c>
      <c r="N490" s="343" t="n">
        <f aca="false">'LT records'!$H490+'LT records'!$I490</f>
        <v>3000</v>
      </c>
      <c r="O490" s="326"/>
      <c r="P490" s="324"/>
      <c r="R490" s="327"/>
    </row>
    <row r="491" customFormat="false" ht="12.8" hidden="false" customHeight="false" outlineLevel="0" collapsed="false">
      <c r="B491" s="351" t="n">
        <v>43490</v>
      </c>
      <c r="C491" s="348" t="n">
        <f aca="false">YEAR('LT records'!$B491)</f>
        <v>2019</v>
      </c>
      <c r="D491" s="346" t="str">
        <f aca="false">'LT records'!$C491&amp;"-"&amp;MONTH('LT records'!$B491)</f>
        <v>2019-1</v>
      </c>
      <c r="E491" s="324" t="s">
        <v>444</v>
      </c>
      <c r="F491" s="324" t="str">
        <f aca="false">LEFT('LT records'!$E491,3)</f>
        <v>Val</v>
      </c>
      <c r="G491" s="354" t="str">
        <f aca="false">IF(OR('LT records'!$F491="MyF", 'LT records'!$F491="DEP"),"DEP",IF('LT records'!$F491="CSH","CSH",IF('LT records'!$F491="BON","BND",IF('LT records'!$F491="Sma","MKT",IF(OR('LT records'!$F491="Val", 'LT records'!$F491="EUR"),"FCY",IF('LT records'!$F491="X-P","PP3",IF('LT records'!$F491="X-m","XAU","???")))))))</f>
        <v>FCY</v>
      </c>
      <c r="H491" s="325" t="n">
        <v>49.98</v>
      </c>
      <c r="I491" s="340"/>
      <c r="J491" s="340" t="n">
        <v>10.43</v>
      </c>
      <c r="K491" s="340"/>
      <c r="L491" s="341" t="n">
        <v>4.79189814814815</v>
      </c>
      <c r="M491" s="350" t="str">
        <f aca="false">YEAR('LT records'!$B491)&amp;"-"&amp;MONTH('LT records'!$B491)</f>
        <v>2019-1</v>
      </c>
      <c r="N491" s="343" t="n">
        <f aca="false">'LT records'!$H491+'LT records'!$I491</f>
        <v>49.98</v>
      </c>
      <c r="O491" s="326"/>
      <c r="P491" s="324"/>
      <c r="R491" s="327"/>
    </row>
    <row r="492" customFormat="false" ht="12.8" hidden="false" customHeight="false" outlineLevel="0" collapsed="false">
      <c r="B492" s="351" t="n">
        <v>43490</v>
      </c>
      <c r="C492" s="348" t="n">
        <f aca="false">YEAR('LT records'!$B492)</f>
        <v>2019</v>
      </c>
      <c r="D492" s="346" t="str">
        <f aca="false">'LT records'!$C492&amp;"-"&amp;MONTH('LT records'!$B492)</f>
        <v>2019-1</v>
      </c>
      <c r="E492" s="324" t="s">
        <v>423</v>
      </c>
      <c r="F492" s="324" t="str">
        <f aca="false">LEFT('LT records'!$E492,3)</f>
        <v>Sma</v>
      </c>
      <c r="G492" s="354" t="str">
        <f aca="false">IF(OR('LT records'!$F492="MyF", 'LT records'!$F492="DEP"),"DEP",IF('LT records'!$F492="CSH","CSH",IF('LT records'!$F492="BON","BND",IF('LT records'!$F492="Sma","MKT",IF(OR('LT records'!$F492="Val", 'LT records'!$F492="EUR"),"FCY",IF('LT records'!$F492="X-P","PP3",IF('LT records'!$F492="X-m","XAU","???")))))))</f>
        <v>MKT</v>
      </c>
      <c r="H492" s="325" t="n">
        <v>1100</v>
      </c>
      <c r="I492" s="340"/>
      <c r="J492" s="340"/>
      <c r="K492" s="340"/>
      <c r="L492" s="341" t="s">
        <v>460</v>
      </c>
      <c r="M492" s="350" t="str">
        <f aca="false">YEAR('LT records'!$B492)&amp;"-"&amp;MONTH('LT records'!$B492)</f>
        <v>2019-1</v>
      </c>
      <c r="N492" s="343" t="n">
        <f aca="false">'LT records'!$H492+'LT records'!$I492</f>
        <v>1100</v>
      </c>
      <c r="O492" s="326"/>
      <c r="P492" s="324"/>
      <c r="R492" s="327"/>
    </row>
    <row r="493" customFormat="false" ht="12.8" hidden="false" customHeight="false" outlineLevel="0" collapsed="false">
      <c r="B493" s="351" t="n">
        <v>43493</v>
      </c>
      <c r="C493" s="348" t="n">
        <f aca="false">YEAR('LT records'!$B493)</f>
        <v>2019</v>
      </c>
      <c r="D493" s="346" t="str">
        <f aca="false">'LT records'!$C493&amp;"-"&amp;MONTH('LT records'!$B493)</f>
        <v>2019-1</v>
      </c>
      <c r="E493" s="324" t="s">
        <v>14</v>
      </c>
      <c r="F493" s="324" t="str">
        <f aca="false">LEFT('LT records'!$E493,3)</f>
        <v>CSH</v>
      </c>
      <c r="G493" s="354" t="str">
        <f aca="false">IF(OR('LT records'!$F493="MyF", 'LT records'!$F493="DEP"),"DEP",IF('LT records'!$F493="CSH","CSH",IF('LT records'!$F493="BON","BND",IF('LT records'!$F493="Sma","MKT",IF(OR('LT records'!$F493="Val", 'LT records'!$F493="EUR"),"FCY",IF('LT records'!$F493="X-P","PP3",IF('LT records'!$F493="X-m","XAU","???")))))))</f>
        <v>CSH</v>
      </c>
      <c r="H493" s="325" t="n">
        <v>50</v>
      </c>
      <c r="I493" s="340" t="n">
        <v>3.83</v>
      </c>
      <c r="J493" s="340"/>
      <c r="K493" s="340"/>
      <c r="L493" s="341" t="s">
        <v>551</v>
      </c>
      <c r="M493" s="350" t="str">
        <f aca="false">YEAR('LT records'!$B493)&amp;"-"&amp;MONTH('LT records'!$B493)</f>
        <v>2019-1</v>
      </c>
      <c r="N493" s="343" t="n">
        <f aca="false">'LT records'!$H493+'LT records'!$I493</f>
        <v>53.83</v>
      </c>
      <c r="O493" s="326"/>
      <c r="P493" s="324"/>
      <c r="R493" s="327"/>
    </row>
    <row r="494" customFormat="false" ht="12.8" hidden="false" customHeight="false" outlineLevel="0" collapsed="false">
      <c r="B494" s="351" t="n">
        <v>43493</v>
      </c>
      <c r="C494" s="348" t="n">
        <f aca="false">YEAR('LT records'!$B494)</f>
        <v>2019</v>
      </c>
      <c r="D494" s="346" t="str">
        <f aca="false">'LT records'!$C494&amp;"-"&amp;MONTH('LT records'!$B494)</f>
        <v>2019-1</v>
      </c>
      <c r="E494" s="324" t="s">
        <v>444</v>
      </c>
      <c r="F494" s="324" t="str">
        <f aca="false">LEFT('LT records'!$E494,3)</f>
        <v>Val</v>
      </c>
      <c r="G494" s="354" t="str">
        <f aca="false">IF(OR('LT records'!$F494="MyF", 'LT records'!$F494="DEP"),"DEP",IF('LT records'!$F494="CSH","CSH",IF('LT records'!$F494="BON","BND",IF('LT records'!$F494="Sma","MKT",IF(OR('LT records'!$F494="Val", 'LT records'!$F494="EUR"),"FCY",IF('LT records'!$F494="X-P","PP3",IF('LT records'!$F494="X-m","XAU","???")))))))</f>
        <v>FCY</v>
      </c>
      <c r="H494" s="325" t="n">
        <v>0</v>
      </c>
      <c r="I494" s="340"/>
      <c r="J494" s="340"/>
      <c r="K494" s="340" t="n">
        <v>0.31</v>
      </c>
      <c r="L494" s="341" t="s">
        <v>40</v>
      </c>
      <c r="M494" s="350" t="str">
        <f aca="false">YEAR('LT records'!$B494)&amp;"-"&amp;MONTH('LT records'!$B494)</f>
        <v>2019-1</v>
      </c>
      <c r="N494" s="343" t="n">
        <f aca="false">'LT records'!$H494+'LT records'!$I494</f>
        <v>0</v>
      </c>
      <c r="O494" s="326"/>
      <c r="P494" s="324"/>
      <c r="R494" s="327"/>
    </row>
    <row r="495" customFormat="false" ht="12.8" hidden="false" customHeight="false" outlineLevel="0" collapsed="false">
      <c r="B495" s="351" t="n">
        <v>43497</v>
      </c>
      <c r="C495" s="348" t="n">
        <f aca="false">YEAR('LT records'!$B495)</f>
        <v>2019</v>
      </c>
      <c r="D495" s="346" t="str">
        <f aca="false">'LT records'!$C495&amp;"-"&amp;MONTH('LT records'!$B495)</f>
        <v>2019-2</v>
      </c>
      <c r="E495" s="324" t="s">
        <v>294</v>
      </c>
      <c r="F495" s="324" t="str">
        <f aca="false">LEFT('LT records'!$E495,3)</f>
        <v>DEP</v>
      </c>
      <c r="G495" s="354" t="str">
        <f aca="false">IF(OR('LT records'!$F495="MyF", 'LT records'!$F495="DEP"),"DEP",IF('LT records'!$F495="CSH","CSH",IF('LT records'!$F495="BON","BND",IF('LT records'!$F495="Sma","MKT",IF(OR('LT records'!$F495="Val", 'LT records'!$F495="EUR"),"FCY",IF('LT records'!$F495="X-P","PP3",IF('LT records'!$F495="X-m","XAU","???")))))))</f>
        <v>DEP</v>
      </c>
      <c r="H495" s="325" t="n">
        <v>5250</v>
      </c>
      <c r="I495" s="340" t="n">
        <f aca="false">63</f>
        <v>63</v>
      </c>
      <c r="J495" s="340"/>
      <c r="K495" s="340"/>
      <c r="L495" s="341" t="s">
        <v>552</v>
      </c>
      <c r="M495" s="350" t="str">
        <f aca="false">YEAR('LT records'!$B495)&amp;"-"&amp;MONTH('LT records'!$B495)</f>
        <v>2019-2</v>
      </c>
      <c r="N495" s="343" t="n">
        <f aca="false">'LT records'!$H495+'LT records'!$I495</f>
        <v>5313</v>
      </c>
      <c r="O495" s="326"/>
      <c r="P495" s="324"/>
      <c r="R495" s="327"/>
    </row>
    <row r="496" customFormat="false" ht="12.8" hidden="false" customHeight="false" outlineLevel="0" collapsed="false">
      <c r="B496" s="351" t="n">
        <v>43497</v>
      </c>
      <c r="C496" s="348" t="n">
        <f aca="false">YEAR('LT records'!$B496)</f>
        <v>2019</v>
      </c>
      <c r="D496" s="346" t="str">
        <f aca="false">'LT records'!$C496&amp;"-"&amp;MONTH('LT records'!$B496)</f>
        <v>2019-2</v>
      </c>
      <c r="E496" s="324" t="s">
        <v>14</v>
      </c>
      <c r="F496" s="324" t="str">
        <f aca="false">LEFT('LT records'!$E496,3)</f>
        <v>CSH</v>
      </c>
      <c r="G496" s="354" t="str">
        <f aca="false">IF(OR('LT records'!$F496="MyF", 'LT records'!$F496="DEP"),"DEP",IF('LT records'!$F496="CSH","CSH",IF('LT records'!$F496="BON","BND",IF('LT records'!$F496="Sma","MKT",IF(OR('LT records'!$F496="Val", 'LT records'!$F496="EUR"),"FCY",IF('LT records'!$F496="X-P","PP3",IF('LT records'!$F496="X-m","XAU","???")))))))</f>
        <v>CSH</v>
      </c>
      <c r="H496" s="325" t="n">
        <v>-5250</v>
      </c>
      <c r="I496" s="340"/>
      <c r="J496" s="340"/>
      <c r="K496" s="340"/>
      <c r="L496" s="341" t="s">
        <v>553</v>
      </c>
      <c r="M496" s="350" t="str">
        <f aca="false">YEAR('LT records'!$B496)&amp;"-"&amp;MONTH('LT records'!$B496)</f>
        <v>2019-2</v>
      </c>
      <c r="N496" s="343" t="n">
        <f aca="false">'LT records'!$H496+'LT records'!$I496</f>
        <v>-5250</v>
      </c>
      <c r="O496" s="326"/>
      <c r="P496" s="324"/>
      <c r="R496" s="327"/>
    </row>
    <row r="497" customFormat="false" ht="12.8" hidden="false" customHeight="false" outlineLevel="0" collapsed="false">
      <c r="B497" s="351" t="n">
        <v>43497</v>
      </c>
      <c r="C497" s="348" t="n">
        <f aca="false">YEAR('LT records'!$B497)</f>
        <v>2019</v>
      </c>
      <c r="D497" s="346" t="str">
        <f aca="false">'LT records'!$C497&amp;"-"&amp;MONTH('LT records'!$B497)</f>
        <v>2019-2</v>
      </c>
      <c r="E497" s="324" t="s">
        <v>444</v>
      </c>
      <c r="F497" s="324" t="str">
        <f aca="false">LEFT('LT records'!$E497,3)</f>
        <v>Val</v>
      </c>
      <c r="G497" s="354" t="str">
        <f aca="false">IF(OR('LT records'!$F497="MyF", 'LT records'!$F497="DEP"),"DEP",IF('LT records'!$F497="CSH","CSH",IF('LT records'!$F497="BON","BND",IF('LT records'!$F497="Sma","MKT",IF(OR('LT records'!$F497="Val", 'LT records'!$F497="EUR"),"FCY",IF('LT records'!$F497="X-P","PP3",IF('LT records'!$F497="X-m","XAU","???")))))))</f>
        <v>FCY</v>
      </c>
      <c r="H497" s="325" t="n">
        <v>0</v>
      </c>
      <c r="I497" s="340"/>
      <c r="J497" s="340" t="n">
        <v>-415</v>
      </c>
      <c r="K497" s="340"/>
      <c r="L497" s="341" t="s">
        <v>554</v>
      </c>
      <c r="M497" s="350" t="str">
        <f aca="false">YEAR('LT records'!$B497)&amp;"-"&amp;MONTH('LT records'!$B497)</f>
        <v>2019-2</v>
      </c>
      <c r="N497" s="343" t="n">
        <f aca="false">'LT records'!$H497+'LT records'!$I497</f>
        <v>0</v>
      </c>
      <c r="O497" s="326"/>
      <c r="P497" s="324"/>
      <c r="R497" s="327"/>
    </row>
    <row r="498" customFormat="false" ht="12.8" hidden="false" customHeight="false" outlineLevel="0" collapsed="false">
      <c r="B498" s="351" t="n">
        <v>43497</v>
      </c>
      <c r="C498" s="348" t="n">
        <f aca="false">YEAR('LT records'!$B498)</f>
        <v>2019</v>
      </c>
      <c r="D498" s="346" t="str">
        <f aca="false">'LT records'!$C498&amp;"-"&amp;MONTH('LT records'!$B498)</f>
        <v>2019-2</v>
      </c>
      <c r="E498" s="324" t="s">
        <v>555</v>
      </c>
      <c r="F498" s="324" t="str">
        <f aca="false">LEFT('LT records'!$E498,3)</f>
        <v>EUR</v>
      </c>
      <c r="G498" s="354" t="str">
        <f aca="false">IF(OR('LT records'!$F498="MyF", 'LT records'!$F498="DEP"),"DEP",IF('LT records'!$F498="CSH","CSH",IF('LT records'!$F498="BON","BND",IF('LT records'!$F498="Sma","MKT",IF(OR('LT records'!$F498="Val", 'LT records'!$F498="EUR"),"FCY",IF('LT records'!$F498="X-P","PP3",IF('LT records'!$F498="X-m","XAU","???")))))))</f>
        <v>FCY</v>
      </c>
      <c r="H498" s="325" t="n">
        <v>0</v>
      </c>
      <c r="I498" s="340"/>
      <c r="J498" s="340" t="n">
        <v>415</v>
      </c>
      <c r="K498" s="340"/>
      <c r="L498" s="341" t="s">
        <v>556</v>
      </c>
      <c r="M498" s="350" t="str">
        <f aca="false">YEAR('LT records'!$B498)&amp;"-"&amp;MONTH('LT records'!$B498)</f>
        <v>2019-2</v>
      </c>
      <c r="N498" s="343" t="n">
        <f aca="false">'LT records'!$H498+'LT records'!$I498</f>
        <v>0</v>
      </c>
      <c r="O498" s="326"/>
      <c r="P498" s="324"/>
      <c r="R498" s="327"/>
    </row>
    <row r="499" customFormat="false" ht="12.8" hidden="false" customHeight="false" outlineLevel="0" collapsed="false">
      <c r="B499" s="351" t="n">
        <v>43504</v>
      </c>
      <c r="C499" s="348" t="n">
        <f aca="false">YEAR('LT records'!$B499)</f>
        <v>2019</v>
      </c>
      <c r="D499" s="346" t="str">
        <f aca="false">'LT records'!$C499&amp;"-"&amp;MONTH('LT records'!$B499)</f>
        <v>2019-2</v>
      </c>
      <c r="E499" s="324" t="s">
        <v>14</v>
      </c>
      <c r="F499" s="324" t="str">
        <f aca="false">LEFT('LT records'!$E499,3)</f>
        <v>CSH</v>
      </c>
      <c r="G499" s="354" t="str">
        <f aca="false">IF(OR('LT records'!$F499="MyF", 'LT records'!$F499="DEP"),"DEP",IF('LT records'!$F499="CSH","CSH",IF('LT records'!$F499="BON","BND",IF('LT records'!$F499="Sma","MKT",IF(OR('LT records'!$F499="Val", 'LT records'!$F499="EUR"),"FCY",IF('LT records'!$F499="X-P","PP3",IF('LT records'!$F499="X-m","XAU","???")))))))</f>
        <v>CSH</v>
      </c>
      <c r="H499" s="325" t="n">
        <v>-57</v>
      </c>
      <c r="I499" s="340"/>
      <c r="J499" s="340"/>
      <c r="K499" s="340"/>
      <c r="L499" s="341" t="s">
        <v>557</v>
      </c>
      <c r="M499" s="350" t="str">
        <f aca="false">YEAR('LT records'!$B499)&amp;"-"&amp;MONTH('LT records'!$B499)</f>
        <v>2019-2</v>
      </c>
      <c r="N499" s="343" t="n">
        <f aca="false">'LT records'!$H499+'LT records'!$I499</f>
        <v>-57</v>
      </c>
      <c r="O499" s="326"/>
      <c r="P499" s="324"/>
      <c r="R499" s="327"/>
    </row>
    <row r="500" customFormat="false" ht="12.8" hidden="false" customHeight="false" outlineLevel="0" collapsed="false">
      <c r="B500" s="351" t="n">
        <v>43518</v>
      </c>
      <c r="C500" s="348" t="n">
        <f aca="false">YEAR('LT records'!$B500)</f>
        <v>2019</v>
      </c>
      <c r="D500" s="346" t="str">
        <f aca="false">'LT records'!$C500&amp;"-"&amp;MONTH('LT records'!$B500)</f>
        <v>2019-2</v>
      </c>
      <c r="E500" s="324" t="s">
        <v>14</v>
      </c>
      <c r="F500" s="324" t="str">
        <f aca="false">LEFT('LT records'!$E500,3)</f>
        <v>CSH</v>
      </c>
      <c r="G500" s="354" t="str">
        <f aca="false">IF(OR('LT records'!$F500="MyF", 'LT records'!$F500="DEP"),"DEP",IF('LT records'!$F500="CSH","CSH",IF('LT records'!$F500="BON","BND",IF('LT records'!$F500="Sma","MKT",IF(OR('LT records'!$F500="Val", 'LT records'!$F500="EUR"),"FCY",IF('LT records'!$F500="X-P","PP3",IF('LT records'!$F500="X-m","XAU","???")))))))</f>
        <v>CSH</v>
      </c>
      <c r="H500" s="325" t="n">
        <f aca="false">-2200+196</f>
        <v>-2004</v>
      </c>
      <c r="I500" s="340"/>
      <c r="J500" s="340"/>
      <c r="K500" s="340"/>
      <c r="L500" s="341" t="s">
        <v>480</v>
      </c>
      <c r="M500" s="350" t="str">
        <f aca="false">YEAR('LT records'!$B500)&amp;"-"&amp;MONTH('LT records'!$B500)</f>
        <v>2019-2</v>
      </c>
      <c r="N500" s="343" t="n">
        <f aca="false">'LT records'!$H500+'LT records'!$I500</f>
        <v>-2004</v>
      </c>
      <c r="O500" s="326"/>
      <c r="P500" s="324"/>
      <c r="R500" s="327"/>
    </row>
    <row r="501" customFormat="false" ht="12.8" hidden="false" customHeight="false" outlineLevel="0" collapsed="false">
      <c r="B501" s="351" t="n">
        <v>43518</v>
      </c>
      <c r="C501" s="348" t="n">
        <f aca="false">YEAR('LT records'!$B501)</f>
        <v>2019</v>
      </c>
      <c r="D501" s="346" t="str">
        <f aca="false">'LT records'!$C501&amp;"-"&amp;MONTH('LT records'!$B501)</f>
        <v>2019-2</v>
      </c>
      <c r="E501" s="324" t="s">
        <v>318</v>
      </c>
      <c r="F501" s="324" t="str">
        <f aca="false">LEFT('LT records'!$E501,3)</f>
        <v>X-P</v>
      </c>
      <c r="G501" s="354" t="str">
        <f aca="false">IF(OR('LT records'!$F501="MyF", 'LT records'!$F501="DEP"),"DEP",IF('LT records'!$F501="CSH","CSH",IF('LT records'!$F501="BON","BND",IF('LT records'!$F501="Sma","MKT",IF(OR('LT records'!$F501="Val", 'LT records'!$F501="EUR"),"FCY",IF('LT records'!$F501="X-P","PP3",IF('LT records'!$F501="X-m","XAU","???")))))))</f>
        <v>PP3</v>
      </c>
      <c r="H501" s="325" t="n">
        <v>150</v>
      </c>
      <c r="I501" s="340"/>
      <c r="J501" s="340"/>
      <c r="K501" s="340"/>
      <c r="L501" s="353" t="s">
        <v>527</v>
      </c>
      <c r="M501" s="350" t="str">
        <f aca="false">YEAR('LT records'!$B501)&amp;"-"&amp;MONTH('LT records'!$B501)</f>
        <v>2019-2</v>
      </c>
      <c r="N501" s="343" t="n">
        <f aca="false">'LT records'!$H501+'LT records'!$I501</f>
        <v>150</v>
      </c>
      <c r="O501" s="326"/>
      <c r="P501" s="324"/>
      <c r="R501" s="327"/>
    </row>
    <row r="502" customFormat="false" ht="12.8" hidden="false" customHeight="false" outlineLevel="0" collapsed="false">
      <c r="B502" s="351" t="n">
        <v>43519</v>
      </c>
      <c r="C502" s="348" t="n">
        <f aca="false">YEAR('LT records'!$B502)</f>
        <v>2019</v>
      </c>
      <c r="D502" s="346" t="str">
        <f aca="false">'LT records'!$C502&amp;"-"&amp;MONTH('LT records'!$B502)</f>
        <v>2019-2</v>
      </c>
      <c r="E502" s="324" t="s">
        <v>14</v>
      </c>
      <c r="F502" s="324" t="str">
        <f aca="false">LEFT('LT records'!$E502,3)</f>
        <v>CSH</v>
      </c>
      <c r="G502" s="354" t="str">
        <f aca="false">IF(OR('LT records'!$F502="MyF", 'LT records'!$F502="DEP"),"DEP",IF('LT records'!$F502="CSH","CSH",IF('LT records'!$F502="BON","BND",IF('LT records'!$F502="Sma","MKT",IF(OR('LT records'!$F502="Val", 'LT records'!$F502="EUR"),"FCY",IF('LT records'!$F502="X-P","PP3",IF('LT records'!$F502="X-m","XAU","???")))))))</f>
        <v>CSH</v>
      </c>
      <c r="H502" s="325" t="n">
        <f aca="false">5005</f>
        <v>5005</v>
      </c>
      <c r="I502" s="340"/>
      <c r="J502" s="340"/>
      <c r="K502" s="340"/>
      <c r="L502" s="341" t="s">
        <v>56</v>
      </c>
      <c r="M502" s="350" t="str">
        <f aca="false">YEAR('LT records'!$B502)&amp;"-"&amp;MONTH('LT records'!$B502)</f>
        <v>2019-2</v>
      </c>
      <c r="N502" s="343" t="n">
        <f aca="false">'LT records'!$H502+'LT records'!$I502</f>
        <v>5005</v>
      </c>
      <c r="O502" s="326"/>
      <c r="P502" s="324"/>
      <c r="R502" s="327"/>
    </row>
    <row r="503" customFormat="false" ht="12.8" hidden="false" customHeight="false" outlineLevel="0" collapsed="false">
      <c r="B503" s="351" t="n">
        <v>43521</v>
      </c>
      <c r="C503" s="348" t="n">
        <f aca="false">YEAR('LT records'!$B503)</f>
        <v>2019</v>
      </c>
      <c r="D503" s="346" t="str">
        <f aca="false">'LT records'!$C503&amp;"-"&amp;MONTH('LT records'!$B503)</f>
        <v>2019-2</v>
      </c>
      <c r="E503" s="324" t="s">
        <v>423</v>
      </c>
      <c r="F503" s="324" t="str">
        <f aca="false">LEFT('LT records'!$E503,3)</f>
        <v>Sma</v>
      </c>
      <c r="G503" s="354" t="str">
        <f aca="false">IF(OR('LT records'!$F503="MyF", 'LT records'!$F503="DEP"),"DEP",IF('LT records'!$F503="CSH","CSH",IF('LT records'!$F503="BON","BND",IF('LT records'!$F503="Sma","MKT",IF(OR('LT records'!$F503="Val", 'LT records'!$F503="EUR"),"FCY",IF('LT records'!$F503="X-P","PP3",IF('LT records'!$F503="X-m","XAU","???")))))))</f>
        <v>MKT</v>
      </c>
      <c r="H503" s="325" t="n">
        <v>1100</v>
      </c>
      <c r="I503" s="340"/>
      <c r="J503" s="340"/>
      <c r="K503" s="340"/>
      <c r="L503" s="341" t="s">
        <v>460</v>
      </c>
      <c r="M503" s="350" t="str">
        <f aca="false">YEAR('LT records'!$B503)&amp;"-"&amp;MONTH('LT records'!$B503)</f>
        <v>2019-2</v>
      </c>
      <c r="N503" s="343" t="n">
        <f aca="false">'LT records'!$H503+'LT records'!$I503</f>
        <v>1100</v>
      </c>
      <c r="O503" s="326"/>
      <c r="P503" s="324"/>
      <c r="R503" s="327"/>
    </row>
    <row r="504" customFormat="false" ht="12.8" hidden="false" customHeight="false" outlineLevel="0" collapsed="false">
      <c r="B504" s="351" t="n">
        <v>43521</v>
      </c>
      <c r="C504" s="348" t="n">
        <f aca="false">YEAR('LT records'!$B504)</f>
        <v>2019</v>
      </c>
      <c r="D504" s="346" t="str">
        <f aca="false">'LT records'!$C504&amp;"-"&amp;MONTH('LT records'!$B504)</f>
        <v>2019-2</v>
      </c>
      <c r="E504" s="324" t="s">
        <v>318</v>
      </c>
      <c r="F504" s="324" t="str">
        <f aca="false">LEFT('LT records'!$E504,3)</f>
        <v>X-P</v>
      </c>
      <c r="G504" s="354" t="str">
        <f aca="false">IF(OR('LT records'!$F504="MyF", 'LT records'!$F504="DEP"),"DEP",IF('LT records'!$F504="CSH","CSH",IF('LT records'!$F504="BON","BND",IF('LT records'!$F504="Sma","MKT",IF(OR('LT records'!$F504="Val", 'LT records'!$F504="EUR"),"FCY",IF('LT records'!$F504="X-P","PP3",IF('LT records'!$F504="X-m","XAU","???")))))))</f>
        <v>PP3</v>
      </c>
      <c r="H504" s="325" t="n">
        <v>200</v>
      </c>
      <c r="I504" s="340"/>
      <c r="J504" s="340"/>
      <c r="K504" s="340"/>
      <c r="L504" s="341" t="s">
        <v>558</v>
      </c>
      <c r="M504" s="350" t="str">
        <f aca="false">YEAR('LT records'!$B504)&amp;"-"&amp;MONTH('LT records'!$B504)</f>
        <v>2019-2</v>
      </c>
      <c r="N504" s="343" t="n">
        <f aca="false">'LT records'!$H504+'LT records'!$I504</f>
        <v>200</v>
      </c>
      <c r="O504" s="326"/>
      <c r="P504" s="324"/>
      <c r="R504" s="327"/>
    </row>
    <row r="505" customFormat="false" ht="12.8" hidden="false" customHeight="false" outlineLevel="0" collapsed="false">
      <c r="B505" s="351" t="n">
        <v>43523</v>
      </c>
      <c r="C505" s="348" t="n">
        <f aca="false">YEAR('LT records'!$B505)</f>
        <v>2019</v>
      </c>
      <c r="D505" s="346" t="str">
        <f aca="false">'LT records'!$C505&amp;"-"&amp;MONTH('LT records'!$B505)</f>
        <v>2019-2</v>
      </c>
      <c r="E505" s="324" t="s">
        <v>14</v>
      </c>
      <c r="F505" s="324" t="str">
        <f aca="false">LEFT('LT records'!$E505,3)</f>
        <v>CSH</v>
      </c>
      <c r="G505" s="354" t="str">
        <f aca="false">IF(OR('LT records'!$F505="MyF", 'LT records'!$F505="DEP"),"DEP",IF('LT records'!$F505="CSH","CSH",IF('LT records'!$F505="BON","BND",IF('LT records'!$F505="Sma","MKT",IF(OR('LT records'!$F505="Val", 'LT records'!$F505="EUR"),"FCY",IF('LT records'!$F505="X-P","PP3",IF('LT records'!$F505="X-m","XAU","???")))))))</f>
        <v>CSH</v>
      </c>
      <c r="H505" s="325" t="n">
        <f aca="false">-144</f>
        <v>-144</v>
      </c>
      <c r="I505" s="340"/>
      <c r="J505" s="340"/>
      <c r="K505" s="340"/>
      <c r="L505" s="341" t="s">
        <v>474</v>
      </c>
      <c r="M505" s="350" t="str">
        <f aca="false">YEAR('LT records'!$B505)&amp;"-"&amp;MONTH('LT records'!$B505)</f>
        <v>2019-2</v>
      </c>
      <c r="N505" s="343" t="n">
        <f aca="false">'LT records'!$H505+'LT records'!$I505</f>
        <v>-144</v>
      </c>
      <c r="O505" s="326"/>
      <c r="P505" s="324"/>
      <c r="R505" s="327"/>
    </row>
    <row r="506" customFormat="false" ht="12.8" hidden="false" customHeight="false" outlineLevel="0" collapsed="false">
      <c r="B506" s="351" t="n">
        <v>43523</v>
      </c>
      <c r="C506" s="348" t="n">
        <f aca="false">YEAR('LT records'!$B506)</f>
        <v>2019</v>
      </c>
      <c r="D506" s="346" t="str">
        <f aca="false">'LT records'!$C506&amp;"-"&amp;MONTH('LT records'!$B506)</f>
        <v>2019-2</v>
      </c>
      <c r="E506" s="324" t="s">
        <v>444</v>
      </c>
      <c r="F506" s="324" t="str">
        <f aca="false">LEFT('LT records'!$E506,3)</f>
        <v>Val</v>
      </c>
      <c r="G506" s="354" t="str">
        <f aca="false">IF(OR('LT records'!$F506="MyF", 'LT records'!$F506="DEP"),"DEP",IF('LT records'!$F506="CSH","CSH",IF('LT records'!$F506="BON","BND",IF('LT records'!$F506="Sma","MKT",IF(OR('LT records'!$F506="Val", 'LT records'!$F506="EUR"),"FCY",IF('LT records'!$F506="X-P","PP3",IF('LT records'!$F506="X-m","XAU","???")))))))</f>
        <v>FCY</v>
      </c>
      <c r="H506" s="325" t="n">
        <v>143.98</v>
      </c>
      <c r="I506" s="340"/>
      <c r="J506" s="340" t="n">
        <v>30.06</v>
      </c>
      <c r="K506" s="340"/>
      <c r="L506" s="341" t="s">
        <v>559</v>
      </c>
      <c r="M506" s="350" t="str">
        <f aca="false">YEAR('LT records'!$B506)&amp;"-"&amp;MONTH('LT records'!$B506)</f>
        <v>2019-2</v>
      </c>
      <c r="N506" s="343" t="n">
        <f aca="false">'LT records'!$H506+'LT records'!$I506</f>
        <v>143.98</v>
      </c>
      <c r="O506" s="326"/>
      <c r="P506" s="324"/>
      <c r="R506" s="327"/>
    </row>
    <row r="507" customFormat="false" ht="12.8" hidden="false" customHeight="false" outlineLevel="0" collapsed="false">
      <c r="B507" s="351" t="n">
        <v>43524</v>
      </c>
      <c r="C507" s="348" t="n">
        <f aca="false">YEAR('LT records'!$B507)</f>
        <v>2019</v>
      </c>
      <c r="D507" s="346" t="str">
        <f aca="false">'LT records'!$C507&amp;"-"&amp;MONTH('LT records'!$B507)</f>
        <v>2019-2</v>
      </c>
      <c r="E507" s="324" t="s">
        <v>14</v>
      </c>
      <c r="F507" s="324" t="str">
        <f aca="false">LEFT('LT records'!$E507,3)</f>
        <v>CSH</v>
      </c>
      <c r="G507" s="354" t="str">
        <f aca="false">IF(OR('LT records'!$F507="MyF", 'LT records'!$F507="DEP"),"DEP",IF('LT records'!$F507="CSH","CSH",IF('LT records'!$F507="BON","BND",IF('LT records'!$F507="Sma","MKT",IF(OR('LT records'!$F507="Val", 'LT records'!$F507="EUR"),"FCY",IF('LT records'!$F507="X-P","PP3",IF('LT records'!$F507="X-m","XAU","???")))))))</f>
        <v>CSH</v>
      </c>
      <c r="H507" s="325" t="n">
        <v>50</v>
      </c>
      <c r="I507" s="340" t="n">
        <v>2.3</v>
      </c>
      <c r="J507" s="340"/>
      <c r="K507" s="340"/>
      <c r="L507" s="341" t="s">
        <v>560</v>
      </c>
      <c r="M507" s="350" t="str">
        <f aca="false">YEAR('LT records'!$B507)&amp;"-"&amp;MONTH('LT records'!$B507)</f>
        <v>2019-2</v>
      </c>
      <c r="N507" s="343" t="n">
        <f aca="false">'LT records'!$H507+'LT records'!$I507</f>
        <v>52.3</v>
      </c>
      <c r="O507" s="326"/>
      <c r="P507" s="324"/>
      <c r="R507" s="327"/>
    </row>
    <row r="508" customFormat="false" ht="12.8" hidden="false" customHeight="false" outlineLevel="0" collapsed="false">
      <c r="B508" s="351" t="n">
        <v>43524</v>
      </c>
      <c r="C508" s="348" t="n">
        <f aca="false">YEAR('LT records'!$B508)</f>
        <v>2019</v>
      </c>
      <c r="D508" s="346" t="str">
        <f aca="false">'LT records'!$C508&amp;"-"&amp;MONTH('LT records'!$B508)</f>
        <v>2019-2</v>
      </c>
      <c r="E508" s="324" t="s">
        <v>444</v>
      </c>
      <c r="F508" s="324" t="str">
        <f aca="false">LEFT('LT records'!$E508,3)</f>
        <v>Val</v>
      </c>
      <c r="G508" s="354" t="str">
        <f aca="false">IF(OR('LT records'!$F508="MyF", 'LT records'!$F508="DEP"),"DEP",IF('LT records'!$F508="CSH","CSH",IF('LT records'!$F508="BON","BND",IF('LT records'!$F508="Sma","MKT",IF(OR('LT records'!$F508="Val", 'LT records'!$F508="EUR"),"FCY",IF('LT records'!$F508="X-P","PP3",IF('LT records'!$F508="X-m","XAU","???")))))))</f>
        <v>FCY</v>
      </c>
      <c r="H508" s="325" t="n">
        <v>0</v>
      </c>
      <c r="I508" s="340"/>
      <c r="J508" s="340"/>
      <c r="K508" s="340" t="n">
        <v>0.04</v>
      </c>
      <c r="L508" s="341" t="s">
        <v>40</v>
      </c>
      <c r="M508" s="350" t="str">
        <f aca="false">YEAR('LT records'!$B508)&amp;"-"&amp;MONTH('LT records'!$B508)</f>
        <v>2019-2</v>
      </c>
      <c r="N508" s="343" t="n">
        <f aca="false">'LT records'!$H508+'LT records'!$I508</f>
        <v>0</v>
      </c>
      <c r="O508" s="326"/>
      <c r="P508" s="324"/>
      <c r="R508" s="327"/>
    </row>
    <row r="509" customFormat="false" ht="12.8" hidden="false" customHeight="false" outlineLevel="0" collapsed="false">
      <c r="B509" s="351" t="n">
        <v>43525</v>
      </c>
      <c r="C509" s="348" t="n">
        <f aca="false">YEAR('LT records'!$B509)</f>
        <v>2019</v>
      </c>
      <c r="D509" s="346" t="str">
        <f aca="false">'LT records'!$C509&amp;"-"&amp;MONTH('LT records'!$B509)</f>
        <v>2019-3</v>
      </c>
      <c r="E509" s="324" t="s">
        <v>14</v>
      </c>
      <c r="F509" s="324" t="str">
        <f aca="false">LEFT('LT records'!$E509,3)</f>
        <v>CSH</v>
      </c>
      <c r="G509" s="354" t="str">
        <f aca="false">IF(OR('LT records'!$F509="MyF", 'LT records'!$F509="DEP"),"DEP",IF('LT records'!$F509="CSH","CSH",IF('LT records'!$F509="BON","BND",IF('LT records'!$F509="Sma","MKT",IF(OR('LT records'!$F509="Val", 'LT records'!$F509="EUR"),"FCY",IF('LT records'!$F509="X-P","PP3",IF('LT records'!$F509="X-m","XAU","???")))))))</f>
        <v>CSH</v>
      </c>
      <c r="H509" s="325" t="n">
        <v>-5250</v>
      </c>
      <c r="I509" s="340"/>
      <c r="J509" s="340"/>
      <c r="K509" s="340"/>
      <c r="L509" s="341" t="s">
        <v>561</v>
      </c>
      <c r="M509" s="350" t="str">
        <f aca="false">YEAR('LT records'!$B509)&amp;"-"&amp;MONTH('LT records'!$B509)</f>
        <v>2019-3</v>
      </c>
      <c r="N509" s="343" t="n">
        <f aca="false">'LT records'!$H509+'LT records'!$I509</f>
        <v>-5250</v>
      </c>
      <c r="O509" s="326"/>
      <c r="P509" s="324"/>
      <c r="R509" s="327"/>
    </row>
    <row r="510" customFormat="false" ht="12.8" hidden="false" customHeight="false" outlineLevel="0" collapsed="false">
      <c r="B510" s="351" t="n">
        <v>43525</v>
      </c>
      <c r="C510" s="348" t="n">
        <f aca="false">YEAR('LT records'!$B510)</f>
        <v>2019</v>
      </c>
      <c r="D510" s="346" t="str">
        <f aca="false">'LT records'!$C510&amp;"-"&amp;MONTH('LT records'!$B510)</f>
        <v>2019-3</v>
      </c>
      <c r="E510" s="324" t="s">
        <v>296</v>
      </c>
      <c r="F510" s="324" t="str">
        <f aca="false">LEFT('LT records'!$E510,3)</f>
        <v>DEP</v>
      </c>
      <c r="G510" s="354" t="str">
        <f aca="false">IF(OR('LT records'!$F510="MyF", 'LT records'!$F510="DEP"),"DEP",IF('LT records'!$F510="CSH","CSH",IF('LT records'!$F510="BON","BND",IF('LT records'!$F510="Sma","MKT",IF(OR('LT records'!$F510="Val", 'LT records'!$F510="EUR"),"FCY",IF('LT records'!$F510="X-P","PP3",IF('LT records'!$F510="X-m","XAU","???")))))))</f>
        <v>DEP</v>
      </c>
      <c r="H510" s="325" t="n">
        <v>5250</v>
      </c>
      <c r="I510" s="340" t="n">
        <v>63</v>
      </c>
      <c r="J510" s="340"/>
      <c r="K510" s="340"/>
      <c r="L510" s="341" t="s">
        <v>562</v>
      </c>
      <c r="M510" s="350" t="str">
        <f aca="false">YEAR('LT records'!$B510)&amp;"-"&amp;MONTH('LT records'!$B510)</f>
        <v>2019-3</v>
      </c>
      <c r="N510" s="343" t="n">
        <f aca="false">'LT records'!$H510+'LT records'!$I510</f>
        <v>5313</v>
      </c>
      <c r="O510" s="326"/>
      <c r="P510" s="324"/>
      <c r="R510" s="327"/>
    </row>
    <row r="511" customFormat="false" ht="12.8" hidden="false" customHeight="false" outlineLevel="0" collapsed="false">
      <c r="B511" s="351" t="n">
        <v>43525</v>
      </c>
      <c r="C511" s="348" t="n">
        <f aca="false">YEAR('LT records'!$B511)</f>
        <v>2019</v>
      </c>
      <c r="D511" s="346" t="str">
        <f aca="false">'LT records'!$C511&amp;"-"&amp;MONTH('LT records'!$B511)</f>
        <v>2019-3</v>
      </c>
      <c r="E511" s="324" t="s">
        <v>444</v>
      </c>
      <c r="F511" s="324" t="str">
        <f aca="false">LEFT('LT records'!$E511,3)</f>
        <v>Val</v>
      </c>
      <c r="G511" s="354" t="str">
        <f aca="false">IF(OR('LT records'!$F511="MyF", 'LT records'!$F511="DEP"),"DEP",IF('LT records'!$F511="CSH","CSH",IF('LT records'!$F511="BON","BND",IF('LT records'!$F511="Sma","MKT",IF(OR('LT records'!$F511="Val", 'LT records'!$F511="EUR"),"FCY",IF('LT records'!$F511="X-P","PP3",IF('LT records'!$F511="X-m","XAU","???")))))))</f>
        <v>FCY</v>
      </c>
      <c r="H511" s="325" t="n">
        <v>0</v>
      </c>
      <c r="I511" s="340"/>
      <c r="J511" s="325" t="n">
        <v>-415</v>
      </c>
      <c r="K511" s="340"/>
      <c r="L511" s="341" t="s">
        <v>563</v>
      </c>
      <c r="M511" s="350" t="str">
        <f aca="false">YEAR('LT records'!$B511)&amp;"-"&amp;MONTH('LT records'!$B511)</f>
        <v>2019-3</v>
      </c>
      <c r="N511" s="343" t="n">
        <f aca="false">'LT records'!$H511+'LT records'!$I511</f>
        <v>0</v>
      </c>
      <c r="O511" s="326"/>
      <c r="P511" s="324"/>
      <c r="R511" s="327"/>
    </row>
    <row r="512" customFormat="false" ht="12.8" hidden="false" customHeight="false" outlineLevel="0" collapsed="false">
      <c r="B512" s="351" t="n">
        <v>43525</v>
      </c>
      <c r="C512" s="348" t="n">
        <f aca="false">YEAR('LT records'!$B512)</f>
        <v>2019</v>
      </c>
      <c r="D512" s="346" t="str">
        <f aca="false">'LT records'!$C512&amp;"-"&amp;MONTH('LT records'!$B512)</f>
        <v>2019-3</v>
      </c>
      <c r="E512" s="324" t="s">
        <v>564</v>
      </c>
      <c r="F512" s="324" t="str">
        <f aca="false">LEFT('LT records'!$E512,3)</f>
        <v>EUR</v>
      </c>
      <c r="G512" s="354" t="str">
        <f aca="false">IF(OR('LT records'!$F512="MyF", 'LT records'!$F512="DEP"),"DEP",IF('LT records'!$F512="CSH","CSH",IF('LT records'!$F512="BON","BND",IF('LT records'!$F512="Sma","MKT",IF(OR('LT records'!$F512="Val", 'LT records'!$F512="EUR"),"FCY",IF('LT records'!$F512="X-P","PP3",IF('LT records'!$F512="X-m","XAU","???")))))))</f>
        <v>FCY</v>
      </c>
      <c r="H512" s="325" t="n">
        <v>0</v>
      </c>
      <c r="I512" s="340"/>
      <c r="J512" s="325" t="n">
        <v>415</v>
      </c>
      <c r="K512" s="340"/>
      <c r="L512" s="341" t="s">
        <v>565</v>
      </c>
      <c r="M512" s="350" t="str">
        <f aca="false">YEAR('LT records'!$B512)&amp;"-"&amp;MONTH('LT records'!$B512)</f>
        <v>2019-3</v>
      </c>
      <c r="N512" s="343" t="n">
        <f aca="false">'LT records'!$H512+'LT records'!$I512</f>
        <v>0</v>
      </c>
      <c r="O512" s="326"/>
      <c r="P512" s="324"/>
      <c r="R512" s="327"/>
    </row>
    <row r="513" customFormat="false" ht="12.8" hidden="false" customHeight="false" outlineLevel="0" collapsed="false">
      <c r="B513" s="351" t="n">
        <v>43531</v>
      </c>
      <c r="C513" s="348" t="n">
        <f aca="false">YEAR('LT records'!$B513)</f>
        <v>2019</v>
      </c>
      <c r="D513" s="346" t="str">
        <f aca="false">'LT records'!$C513&amp;"-"&amp;MONTH('LT records'!$B513)</f>
        <v>2019-3</v>
      </c>
      <c r="E513" s="324" t="s">
        <v>444</v>
      </c>
      <c r="F513" s="324" t="str">
        <f aca="false">LEFT('LT records'!$E513,3)</f>
        <v>Val</v>
      </c>
      <c r="G513" s="354" t="str">
        <f aca="false">IF(OR('LT records'!$F513="MyF", 'LT records'!$F513="DEP"),"DEP",IF('LT records'!$F513="CSH","CSH",IF('LT records'!$F513="BON","BND",IF('LT records'!$F513="Sma","MKT",IF(OR('LT records'!$F513="Val", 'LT records'!$F513="EUR"),"FCY",IF('LT records'!$F513="X-P","PP3",IF('LT records'!$F513="X-m","XAU","???")))))))</f>
        <v>FCY</v>
      </c>
      <c r="H513" s="325" t="n">
        <v>239</v>
      </c>
      <c r="I513" s="340"/>
      <c r="J513" s="340" t="n">
        <v>50</v>
      </c>
      <c r="K513" s="340"/>
      <c r="L513" s="341" t="s">
        <v>566</v>
      </c>
      <c r="M513" s="350" t="str">
        <f aca="false">YEAR('LT records'!$B513)&amp;"-"&amp;MONTH('LT records'!$B513)</f>
        <v>2019-3</v>
      </c>
      <c r="N513" s="343" t="n">
        <f aca="false">'LT records'!$H513+'LT records'!$I513</f>
        <v>239</v>
      </c>
      <c r="O513" s="326"/>
      <c r="P513" s="324"/>
      <c r="R513" s="327"/>
    </row>
    <row r="514" customFormat="false" ht="12.8" hidden="false" customHeight="false" outlineLevel="0" collapsed="false">
      <c r="B514" s="351" t="n">
        <v>43541</v>
      </c>
      <c r="C514" s="348" t="n">
        <f aca="false">YEAR('LT records'!$B514)</f>
        <v>2019</v>
      </c>
      <c r="D514" s="346" t="str">
        <f aca="false">'LT records'!$C514&amp;"-"&amp;MONTH('LT records'!$B514)</f>
        <v>2019-3</v>
      </c>
      <c r="E514" s="324" t="s">
        <v>14</v>
      </c>
      <c r="F514" s="324" t="str">
        <f aca="false">LEFT('LT records'!$E514,3)</f>
        <v>CSH</v>
      </c>
      <c r="G514" s="354" t="str">
        <f aca="false">IF(OR('LT records'!$F514="MyF", 'LT records'!$F514="DEP"),"DEP",IF('LT records'!$F514="CSH","CSH",IF('LT records'!$F514="BON","BND",IF('LT records'!$F514="Sma","MKT",IF(OR('LT records'!$F514="Val", 'LT records'!$F514="EUR"),"FCY",IF('LT records'!$F514="X-P","PP3",IF('LT records'!$F514="X-m","XAU","???")))))))</f>
        <v>CSH</v>
      </c>
      <c r="H514" s="325" t="n">
        <f aca="false">-300+86.7</f>
        <v>-213.3</v>
      </c>
      <c r="I514" s="340"/>
      <c r="J514" s="340"/>
      <c r="K514" s="340"/>
      <c r="L514" s="341" t="s">
        <v>480</v>
      </c>
      <c r="M514" s="350" t="str">
        <f aca="false">YEAR('LT records'!$B514)&amp;"-"&amp;MONTH('LT records'!$B514)</f>
        <v>2019-3</v>
      </c>
      <c r="N514" s="343" t="n">
        <f aca="false">'LT records'!$H514+'LT records'!$I514</f>
        <v>-213.3</v>
      </c>
      <c r="O514" s="326"/>
      <c r="P514" s="324"/>
      <c r="R514" s="327"/>
    </row>
    <row r="515" customFormat="false" ht="12.8" hidden="false" customHeight="false" outlineLevel="0" collapsed="false">
      <c r="B515" s="351" t="n">
        <v>43542</v>
      </c>
      <c r="C515" s="348" t="n">
        <f aca="false">YEAR('LT records'!$B515)</f>
        <v>2019</v>
      </c>
      <c r="D515" s="346" t="str">
        <f aca="false">'LT records'!$C515&amp;"-"&amp;MONTH('LT records'!$B515)</f>
        <v>2019-3</v>
      </c>
      <c r="E515" s="324" t="s">
        <v>318</v>
      </c>
      <c r="F515" s="324" t="str">
        <f aca="false">LEFT('LT records'!$E515,3)</f>
        <v>X-P</v>
      </c>
      <c r="G515" s="354" t="str">
        <f aca="false">IF(OR('LT records'!$F515="MyF", 'LT records'!$F515="DEP"),"DEP",IF('LT records'!$F515="CSH","CSH",IF('LT records'!$F515="BON","BND",IF('LT records'!$F515="Sma","MKT",IF(OR('LT records'!$F515="Val", 'LT records'!$F515="EUR"),"FCY",IF('LT records'!$F515="X-P","PP3",IF('LT records'!$F515="X-m","XAU","???")))))))</f>
        <v>PP3</v>
      </c>
      <c r="H515" s="325" t="n">
        <v>150</v>
      </c>
      <c r="I515" s="340"/>
      <c r="J515" s="340"/>
      <c r="K515" s="340"/>
      <c r="L515" s="353" t="s">
        <v>527</v>
      </c>
      <c r="M515" s="350" t="str">
        <f aca="false">YEAR('LT records'!$B515)&amp;"-"&amp;MONTH('LT records'!$B515)</f>
        <v>2019-3</v>
      </c>
      <c r="N515" s="343" t="n">
        <f aca="false">'LT records'!$H515+'LT records'!$I515</f>
        <v>150</v>
      </c>
      <c r="O515" s="326"/>
      <c r="P515" s="324"/>
      <c r="R515" s="327"/>
    </row>
    <row r="516" customFormat="false" ht="12.8" hidden="false" customHeight="false" outlineLevel="0" collapsed="false">
      <c r="B516" s="351" t="n">
        <v>43546</v>
      </c>
      <c r="C516" s="348" t="n">
        <f aca="false">YEAR('LT records'!$B516)</f>
        <v>2019</v>
      </c>
      <c r="D516" s="346" t="str">
        <f aca="false">'LT records'!$C516&amp;"-"&amp;MONTH('LT records'!$B516)</f>
        <v>2019-3</v>
      </c>
      <c r="E516" s="324" t="s">
        <v>14</v>
      </c>
      <c r="F516" s="324" t="str">
        <f aca="false">LEFT('LT records'!$E516,3)</f>
        <v>CSH</v>
      </c>
      <c r="G516" s="354" t="str">
        <f aca="false">IF(OR('LT records'!$F516="MyF", 'LT records'!$F516="DEP"),"DEP",IF('LT records'!$F516="CSH","CSH",IF('LT records'!$F516="BON","BND",IF('LT records'!$F516="Sma","MKT",IF(OR('LT records'!$F516="Val", 'LT records'!$F516="EUR"),"FCY",IF('LT records'!$F516="X-P","PP3",IF('LT records'!$F516="X-m","XAU","???")))))))</f>
        <v>CSH</v>
      </c>
      <c r="H516" s="325" t="n">
        <v>3113</v>
      </c>
      <c r="I516" s="340"/>
      <c r="J516" s="340"/>
      <c r="K516" s="340"/>
      <c r="L516" s="341" t="s">
        <v>56</v>
      </c>
      <c r="M516" s="350" t="str">
        <f aca="false">YEAR('LT records'!$B516)&amp;"-"&amp;MONTH('LT records'!$B516)</f>
        <v>2019-3</v>
      </c>
      <c r="N516" s="343" t="n">
        <f aca="false">'LT records'!$H516+'LT records'!$I516</f>
        <v>3113</v>
      </c>
      <c r="O516" s="326"/>
      <c r="P516" s="324"/>
      <c r="R516" s="327"/>
    </row>
    <row r="517" customFormat="false" ht="12.8" hidden="false" customHeight="false" outlineLevel="0" collapsed="false">
      <c r="B517" s="351" t="n">
        <v>43549</v>
      </c>
      <c r="C517" s="348" t="n">
        <f aca="false">YEAR('LT records'!$B517)</f>
        <v>2019</v>
      </c>
      <c r="D517" s="346" t="str">
        <f aca="false">'LT records'!$C517&amp;"-"&amp;MONTH('LT records'!$B517)</f>
        <v>2019-3</v>
      </c>
      <c r="E517" s="324" t="s">
        <v>423</v>
      </c>
      <c r="F517" s="324" t="str">
        <f aca="false">LEFT('LT records'!$E517,3)</f>
        <v>Sma</v>
      </c>
      <c r="G517" s="354" t="str">
        <f aca="false">IF(OR('LT records'!$F517="MyF", 'LT records'!$F517="DEP"),"DEP",IF('LT records'!$F517="CSH","CSH",IF('LT records'!$F517="BON","BND",IF('LT records'!$F517="Sma","MKT",IF(OR('LT records'!$F517="Val", 'LT records'!$F517="EUR"),"FCY",IF('LT records'!$F517="X-P","PP3",IF('LT records'!$F517="X-m","XAU","???")))))))</f>
        <v>MKT</v>
      </c>
      <c r="H517" s="325" t="n">
        <v>1100</v>
      </c>
      <c r="I517" s="340"/>
      <c r="J517" s="340"/>
      <c r="K517" s="340"/>
      <c r="L517" s="341" t="s">
        <v>460</v>
      </c>
      <c r="M517" s="350" t="str">
        <f aca="false">YEAR('LT records'!$B517)&amp;"-"&amp;MONTH('LT records'!$B517)</f>
        <v>2019-3</v>
      </c>
      <c r="N517" s="343" t="n">
        <f aca="false">'LT records'!$H517+'LT records'!$I517</f>
        <v>1100</v>
      </c>
      <c r="O517" s="326"/>
      <c r="P517" s="324"/>
      <c r="R517" s="327"/>
    </row>
    <row r="518" customFormat="false" ht="12.8" hidden="false" customHeight="false" outlineLevel="0" collapsed="false">
      <c r="B518" s="351" t="n">
        <v>43549</v>
      </c>
      <c r="C518" s="348" t="n">
        <f aca="false">YEAR('LT records'!$B518)</f>
        <v>2019</v>
      </c>
      <c r="D518" s="346" t="str">
        <f aca="false">'LT records'!$C518&amp;"-"&amp;MONTH('LT records'!$B518)</f>
        <v>2019-3</v>
      </c>
      <c r="E518" s="324" t="s">
        <v>318</v>
      </c>
      <c r="F518" s="324" t="str">
        <f aca="false">LEFT('LT records'!$E518,3)</f>
        <v>X-P</v>
      </c>
      <c r="G518" s="354" t="str">
        <f aca="false">IF(OR('LT records'!$F518="MyF", 'LT records'!$F518="DEP"),"DEP",IF('LT records'!$F518="CSH","CSH",IF('LT records'!$F518="BON","BND",IF('LT records'!$F518="Sma","MKT",IF(OR('LT records'!$F518="Val", 'LT records'!$F518="EUR"),"FCY",IF('LT records'!$F518="X-P","PP3",IF('LT records'!$F518="X-m","XAU","???")))))))</f>
        <v>PP3</v>
      </c>
      <c r="H518" s="325" t="n">
        <v>200</v>
      </c>
      <c r="I518" s="340"/>
      <c r="J518" s="340"/>
      <c r="K518" s="340"/>
      <c r="L518" s="341" t="s">
        <v>558</v>
      </c>
      <c r="M518" s="350" t="str">
        <f aca="false">YEAR('LT records'!$B518)&amp;"-"&amp;MONTH('LT records'!$B518)</f>
        <v>2019-3</v>
      </c>
      <c r="N518" s="343" t="n">
        <f aca="false">'LT records'!$H518+'LT records'!$I518</f>
        <v>200</v>
      </c>
      <c r="O518" s="326"/>
      <c r="P518" s="324"/>
      <c r="R518" s="327"/>
    </row>
    <row r="519" customFormat="false" ht="12.8" hidden="false" customHeight="false" outlineLevel="0" collapsed="false">
      <c r="B519" s="351" t="n">
        <v>43551</v>
      </c>
      <c r="C519" s="348" t="n">
        <f aca="false">YEAR('LT records'!$B519)</f>
        <v>2019</v>
      </c>
      <c r="D519" s="346" t="str">
        <f aca="false">'LT records'!$C519&amp;"-"&amp;MONTH('LT records'!$B519)</f>
        <v>2019-3</v>
      </c>
      <c r="E519" s="324" t="s">
        <v>14</v>
      </c>
      <c r="F519" s="324" t="str">
        <f aca="false">LEFT('LT records'!$E519,3)</f>
        <v>CSH</v>
      </c>
      <c r="G519" s="354" t="str">
        <f aca="false">IF(OR('LT records'!$F519="MyF", 'LT records'!$F519="DEP"),"DEP",IF('LT records'!$F519="CSH","CSH",IF('LT records'!$F519="BON","BND",IF('LT records'!$F519="Sma","MKT",IF(OR('LT records'!$F519="Val", 'LT records'!$F519="EUR"),"FCY",IF('LT records'!$F519="X-P","PP3",IF('LT records'!$F519="X-m","XAU","???")))))))</f>
        <v>CSH</v>
      </c>
      <c r="H519" s="325" t="n">
        <v>-45.35</v>
      </c>
      <c r="I519" s="340"/>
      <c r="J519" s="340"/>
      <c r="K519" s="340"/>
      <c r="L519" s="341" t="s">
        <v>474</v>
      </c>
      <c r="M519" s="350" t="str">
        <f aca="false">YEAR('LT records'!$B519)&amp;"-"&amp;MONTH('LT records'!$B519)</f>
        <v>2019-3</v>
      </c>
      <c r="N519" s="343" t="n">
        <f aca="false">'LT records'!$H519+'LT records'!$I519</f>
        <v>-45.35</v>
      </c>
      <c r="O519" s="326"/>
      <c r="P519" s="324"/>
      <c r="R519" s="327"/>
    </row>
    <row r="520" customFormat="false" ht="12.8" hidden="false" customHeight="false" outlineLevel="0" collapsed="false">
      <c r="B520" s="351" t="n">
        <v>43551</v>
      </c>
      <c r="C520" s="348" t="n">
        <f aca="false">YEAR('LT records'!$B520)</f>
        <v>2019</v>
      </c>
      <c r="D520" s="346" t="str">
        <f aca="false">'LT records'!$C520&amp;"-"&amp;MONTH('LT records'!$B520)</f>
        <v>2019-3</v>
      </c>
      <c r="E520" s="324" t="s">
        <v>444</v>
      </c>
      <c r="F520" s="324" t="str">
        <f aca="false">LEFT('LT records'!$E520,3)</f>
        <v>Val</v>
      </c>
      <c r="G520" s="354" t="str">
        <f aca="false">IF(OR('LT records'!$F520="MyF", 'LT records'!$F520="DEP"),"DEP",IF('LT records'!$F520="CSH","CSH",IF('LT records'!$F520="BON","BND",IF('LT records'!$F520="Sma","MKT",IF(OR('LT records'!$F520="Val", 'LT records'!$F520="EUR"),"FCY",IF('LT records'!$F520="X-P","PP3",IF('LT records'!$F520="X-m","XAU","???")))))))</f>
        <v>FCY</v>
      </c>
      <c r="H520" s="325" t="n">
        <v>47.83</v>
      </c>
      <c r="I520" s="340"/>
      <c r="J520" s="340" t="n">
        <v>10</v>
      </c>
      <c r="K520" s="340"/>
      <c r="L520" s="341" t="s">
        <v>567</v>
      </c>
      <c r="M520" s="350" t="str">
        <f aca="false">YEAR('LT records'!$B520)&amp;"-"&amp;MONTH('LT records'!$B520)</f>
        <v>2019-3</v>
      </c>
      <c r="N520" s="343" t="n">
        <f aca="false">'LT records'!$H520+'LT records'!$I520</f>
        <v>47.83</v>
      </c>
      <c r="O520" s="326"/>
      <c r="P520" s="324"/>
      <c r="R520" s="327"/>
    </row>
    <row r="521" customFormat="false" ht="12.8" hidden="false" customHeight="false" outlineLevel="0" collapsed="false">
      <c r="B521" s="351" t="n">
        <v>43552</v>
      </c>
      <c r="C521" s="348" t="n">
        <f aca="false">YEAR('LT records'!$B521)</f>
        <v>2019</v>
      </c>
      <c r="D521" s="346" t="str">
        <f aca="false">'LT records'!$C521&amp;"-"&amp;MONTH('LT records'!$B521)</f>
        <v>2019-3</v>
      </c>
      <c r="E521" s="324" t="s">
        <v>14</v>
      </c>
      <c r="F521" s="324" t="str">
        <f aca="false">LEFT('LT records'!$E521,3)</f>
        <v>CSH</v>
      </c>
      <c r="G521" s="354" t="str">
        <f aca="false">IF(OR('LT records'!$F521="MyF", 'LT records'!$F521="DEP"),"DEP",IF('LT records'!$F521="CSH","CSH",IF('LT records'!$F521="BON","BND",IF('LT records'!$F521="Sma","MKT",IF(OR('LT records'!$F521="Val", 'LT records'!$F521="EUR"),"FCY",IF('LT records'!$F521="X-P","PP3",IF('LT records'!$F521="X-m","XAU","???")))))))</f>
        <v>CSH</v>
      </c>
      <c r="H521" s="325" t="n">
        <v>50</v>
      </c>
      <c r="I521" s="340" t="n">
        <v>0.63</v>
      </c>
      <c r="J521" s="340"/>
      <c r="K521" s="340"/>
      <c r="L521" s="341" t="s">
        <v>568</v>
      </c>
      <c r="M521" s="350" t="str">
        <f aca="false">YEAR('LT records'!$B521)&amp;"-"&amp;MONTH('LT records'!$B521)</f>
        <v>2019-3</v>
      </c>
      <c r="N521" s="343" t="n">
        <f aca="false">'LT records'!$H521+'LT records'!$I521</f>
        <v>50.63</v>
      </c>
      <c r="O521" s="326"/>
      <c r="P521" s="324"/>
      <c r="R521" s="327"/>
    </row>
    <row r="522" customFormat="false" ht="12.8" hidden="false" customHeight="false" outlineLevel="0" collapsed="false">
      <c r="B522" s="351" t="n">
        <v>43557</v>
      </c>
      <c r="C522" s="348" t="n">
        <f aca="false">YEAR('LT records'!$B522)</f>
        <v>2019</v>
      </c>
      <c r="D522" s="346" t="str">
        <f aca="false">'LT records'!$C522&amp;"-"&amp;MONTH('LT records'!$B522)</f>
        <v>2019-4</v>
      </c>
      <c r="E522" s="324" t="s">
        <v>297</v>
      </c>
      <c r="F522" s="324" t="str">
        <f aca="false">LEFT('LT records'!$E522,3)</f>
        <v>DEP</v>
      </c>
      <c r="G522" s="354" t="str">
        <f aca="false">IF(OR('LT records'!$F522="MyF", 'LT records'!$F522="DEP"),"DEP",IF('LT records'!$F522="CSH","CSH",IF('LT records'!$F522="BON","BND",IF('LT records'!$F522="Sma","MKT",IF(OR('LT records'!$F522="Val", 'LT records'!$F522="EUR"),"FCY",IF('LT records'!$F522="X-P","PP3",IF('LT records'!$F522="X-m","XAU","???")))))))</f>
        <v>DEP</v>
      </c>
      <c r="H522" s="325" t="n">
        <v>366.5</v>
      </c>
      <c r="I522" s="340" t="n">
        <v>166.5</v>
      </c>
      <c r="J522" s="340"/>
      <c r="K522" s="340"/>
      <c r="L522" s="341" t="s">
        <v>569</v>
      </c>
      <c r="M522" s="350" t="str">
        <f aca="false">YEAR('LT records'!$B522)&amp;"-"&amp;MONTH('LT records'!$B522)</f>
        <v>2019-4</v>
      </c>
      <c r="N522" s="343" t="n">
        <f aca="false">'LT records'!$H522+'LT records'!$I522</f>
        <v>533</v>
      </c>
      <c r="O522" s="326"/>
      <c r="P522" s="324"/>
      <c r="R522" s="327"/>
    </row>
    <row r="523" customFormat="false" ht="12.8" hidden="false" customHeight="false" outlineLevel="0" collapsed="false">
      <c r="B523" s="351" t="n">
        <v>43557</v>
      </c>
      <c r="C523" s="348" t="n">
        <f aca="false">YEAR('LT records'!$B523)</f>
        <v>2019</v>
      </c>
      <c r="D523" s="346" t="str">
        <f aca="false">'LT records'!$C523&amp;"-"&amp;MONTH('LT records'!$B523)</f>
        <v>2019-4</v>
      </c>
      <c r="E523" s="324" t="s">
        <v>14</v>
      </c>
      <c r="F523" s="324" t="str">
        <f aca="false">LEFT('LT records'!$E523,3)</f>
        <v>CSH</v>
      </c>
      <c r="G523" s="354" t="str">
        <f aca="false">IF(OR('LT records'!$F523="MyF", 'LT records'!$F523="DEP"),"DEP",IF('LT records'!$F523="CSH","CSH",IF('LT records'!$F523="BON","BND",IF('LT records'!$F523="Sma","MKT",IF(OR('LT records'!$F523="Val", 'LT records'!$F523="EUR"),"FCY",IF('LT records'!$F523="X-P","PP3",IF('LT records'!$F523="X-m","XAU","???")))))))</f>
        <v>CSH</v>
      </c>
      <c r="H523" s="325" t="n">
        <v>-366.5</v>
      </c>
      <c r="I523" s="340"/>
      <c r="J523" s="340"/>
      <c r="K523" s="340"/>
      <c r="L523" s="341" t="s">
        <v>570</v>
      </c>
      <c r="M523" s="350" t="str">
        <f aca="false">YEAR('LT records'!$B523)&amp;"-"&amp;MONTH('LT records'!$B523)</f>
        <v>2019-4</v>
      </c>
      <c r="N523" s="343" t="n">
        <f aca="false">'LT records'!$H523+'LT records'!$I523</f>
        <v>-366.5</v>
      </c>
      <c r="O523" s="326"/>
      <c r="P523" s="324"/>
      <c r="R523" s="327"/>
    </row>
    <row r="524" customFormat="false" ht="12.8" hidden="false" customHeight="false" outlineLevel="0" collapsed="false">
      <c r="B524" s="351" t="n">
        <v>43559</v>
      </c>
      <c r="C524" s="348" t="n">
        <f aca="false">YEAR('LT records'!$B524)</f>
        <v>2019</v>
      </c>
      <c r="D524" s="346" t="str">
        <f aca="false">'LT records'!$C524&amp;"-"&amp;MONTH('LT records'!$B524)</f>
        <v>2019-4</v>
      </c>
      <c r="E524" s="324" t="s">
        <v>444</v>
      </c>
      <c r="F524" s="324" t="str">
        <f aca="false">LEFT('LT records'!$E524,3)</f>
        <v>Val</v>
      </c>
      <c r="G524" s="354" t="str">
        <f aca="false">IF(OR('LT records'!$F524="MyF", 'LT records'!$F524="DEP"),"DEP",IF('LT records'!$F524="CSH","CSH",IF('LT records'!$F524="BON","BND",IF('LT records'!$F524="Sma","MKT",IF(OR('LT records'!$F524="Val", 'LT records'!$F524="EUR"),"FCY",IF('LT records'!$F524="X-P","PP3",IF('LT records'!$F524="X-m","XAU","???")))))))</f>
        <v>FCY</v>
      </c>
      <c r="H524" s="325" t="n">
        <v>249.02</v>
      </c>
      <c r="I524" s="340"/>
      <c r="J524" s="340" t="n">
        <v>52.08</v>
      </c>
      <c r="K524" s="340"/>
      <c r="L524" s="341" t="s">
        <v>571</v>
      </c>
      <c r="M524" s="350" t="str">
        <f aca="false">YEAR('LT records'!$B524)&amp;"-"&amp;MONTH('LT records'!$B524)</f>
        <v>2019-4</v>
      </c>
      <c r="N524" s="343" t="n">
        <f aca="false">'LT records'!$H524+'LT records'!$I524</f>
        <v>249.02</v>
      </c>
      <c r="O524" s="326"/>
      <c r="P524" s="324"/>
      <c r="R524" s="327"/>
    </row>
    <row r="525" customFormat="false" ht="12.8" hidden="false" customHeight="false" outlineLevel="0" collapsed="false">
      <c r="B525" s="351" t="n">
        <v>43566</v>
      </c>
      <c r="C525" s="348" t="n">
        <f aca="false">YEAR('LT records'!$B525)</f>
        <v>2019</v>
      </c>
      <c r="D525" s="346" t="str">
        <f aca="false">'LT records'!$C525&amp;"-"&amp;MONTH('LT records'!$B525)</f>
        <v>2019-4</v>
      </c>
      <c r="E525" s="324" t="s">
        <v>444</v>
      </c>
      <c r="F525" s="324" t="str">
        <f aca="false">LEFT('LT records'!$E525,3)</f>
        <v>Val</v>
      </c>
      <c r="G525" s="354" t="str">
        <f aca="false">IF(OR('LT records'!$F525="MyF", 'LT records'!$F525="DEP"),"DEP",IF('LT records'!$F525="CSH","CSH",IF('LT records'!$F525="BON","BND",IF('LT records'!$F525="Sma","MKT",IF(OR('LT records'!$F525="Val", 'LT records'!$F525="EUR"),"FCY",IF('LT records'!$F525="X-P","PP3",IF('LT records'!$F525="X-m","XAU","???")))))))</f>
        <v>FCY</v>
      </c>
      <c r="H525" s="325" t="n">
        <v>0</v>
      </c>
      <c r="I525" s="340"/>
      <c r="J525" s="340" t="n">
        <v>-6.4</v>
      </c>
      <c r="K525" s="340"/>
      <c r="L525" s="341" t="s">
        <v>572</v>
      </c>
      <c r="M525" s="350" t="str">
        <f aca="false">YEAR('LT records'!$B525)&amp;"-"&amp;MONTH('LT records'!$B525)</f>
        <v>2019-4</v>
      </c>
      <c r="N525" s="343" t="n">
        <f aca="false">'LT records'!$H525+'LT records'!$I525</f>
        <v>0</v>
      </c>
      <c r="O525" s="326"/>
      <c r="P525" s="324"/>
      <c r="R525" s="327"/>
    </row>
    <row r="526" customFormat="false" ht="12.8" hidden="false" customHeight="false" outlineLevel="0" collapsed="false">
      <c r="B526" s="351" t="n">
        <v>43566</v>
      </c>
      <c r="C526" s="348" t="n">
        <f aca="false">YEAR('LT records'!$B526)</f>
        <v>2019</v>
      </c>
      <c r="D526" s="346" t="str">
        <f aca="false">'LT records'!$C526&amp;"-"&amp;MONTH('LT records'!$B526)</f>
        <v>2019-4</v>
      </c>
      <c r="E526" s="324" t="s">
        <v>453</v>
      </c>
      <c r="F526" s="324" t="str">
        <f aca="false">LEFT('LT records'!$E526,3)</f>
        <v>EUR</v>
      </c>
      <c r="G526" s="354" t="str">
        <f aca="false">IF(OR('LT records'!$F526="MyF", 'LT records'!$F526="DEP"),"DEP",IF('LT records'!$F526="CSH","CSH",IF('LT records'!$F526="BON","BND",IF('LT records'!$F526="Sma","MKT",IF(OR('LT records'!$F526="Val", 'LT records'!$F526="EUR"),"FCY",IF('LT records'!$F526="X-P","PP3",IF('LT records'!$F526="X-m","XAU","???")))))))</f>
        <v>FCY</v>
      </c>
      <c r="H526" s="325" t="n">
        <v>0</v>
      </c>
      <c r="I526" s="340"/>
      <c r="J526" s="340" t="n">
        <v>6.4</v>
      </c>
      <c r="K526" s="340" t="n">
        <v>3.6</v>
      </c>
      <c r="L526" s="341" t="s">
        <v>573</v>
      </c>
      <c r="M526" s="350" t="str">
        <f aca="false">YEAR('LT records'!$B526)&amp;"-"&amp;MONTH('LT records'!$B526)</f>
        <v>2019-4</v>
      </c>
      <c r="N526" s="343" t="n">
        <f aca="false">'LT records'!$H526+'LT records'!$I526</f>
        <v>0</v>
      </c>
      <c r="O526" s="326"/>
      <c r="P526" s="324"/>
      <c r="R526" s="327"/>
    </row>
    <row r="527" customFormat="false" ht="12.8" hidden="false" customHeight="false" outlineLevel="0" collapsed="false">
      <c r="B527" s="351" t="n">
        <v>43573</v>
      </c>
      <c r="C527" s="348" t="n">
        <f aca="false">YEAR('LT records'!$B527)</f>
        <v>2019</v>
      </c>
      <c r="D527" s="346" t="str">
        <f aca="false">'LT records'!$C527&amp;"-"&amp;MONTH('LT records'!$B527)</f>
        <v>2019-4</v>
      </c>
      <c r="E527" s="324" t="s">
        <v>318</v>
      </c>
      <c r="F527" s="324" t="str">
        <f aca="false">LEFT('LT records'!$E527,3)</f>
        <v>X-P</v>
      </c>
      <c r="G527" s="354" t="str">
        <f aca="false">IF(OR('LT records'!$F527="MyF", 'LT records'!$F527="DEP"),"DEP",IF('LT records'!$F527="CSH","CSH",IF('LT records'!$F527="BON","BND",IF('LT records'!$F527="Sma","MKT",IF(OR('LT records'!$F527="Val", 'LT records'!$F527="EUR"),"FCY",IF('LT records'!$F527="X-P","PP3",IF('LT records'!$F527="X-m","XAU","???")))))))</f>
        <v>PP3</v>
      </c>
      <c r="H527" s="325" t="n">
        <v>150</v>
      </c>
      <c r="I527" s="340"/>
      <c r="J527" s="340"/>
      <c r="K527" s="340"/>
      <c r="L527" s="353" t="s">
        <v>527</v>
      </c>
      <c r="M527" s="350" t="str">
        <f aca="false">YEAR('LT records'!$B527)&amp;"-"&amp;MONTH('LT records'!$B527)</f>
        <v>2019-4</v>
      </c>
      <c r="N527" s="343" t="n">
        <f aca="false">'LT records'!$H527+'LT records'!$I527</f>
        <v>150</v>
      </c>
      <c r="O527" s="326"/>
      <c r="P527" s="324"/>
      <c r="R527" s="327"/>
    </row>
    <row r="528" customFormat="false" ht="12.8" hidden="false" customHeight="false" outlineLevel="0" collapsed="false">
      <c r="B528" s="351" t="n">
        <v>43572</v>
      </c>
      <c r="C528" s="348" t="n">
        <f aca="false">YEAR('LT records'!$B528)</f>
        <v>2019</v>
      </c>
      <c r="D528" s="346" t="str">
        <f aca="false">'LT records'!$C528&amp;"-"&amp;MONTH('LT records'!$B528)</f>
        <v>2019-4</v>
      </c>
      <c r="E528" s="324" t="s">
        <v>444</v>
      </c>
      <c r="F528" s="324" t="str">
        <f aca="false">LEFT('LT records'!$E528,3)</f>
        <v>Val</v>
      </c>
      <c r="G528" s="354" t="str">
        <f aca="false">IF(OR('LT records'!$F528="MyF", 'LT records'!$F528="DEP"),"DEP",IF('LT records'!$F528="CSH","CSH",IF('LT records'!$F528="BON","BND",IF('LT records'!$F528="Sma","MKT",IF(OR('LT records'!$F528="Val", 'LT records'!$F528="EUR"),"FCY",IF('LT records'!$F528="X-P","PP3",IF('LT records'!$F528="X-m","XAU","???")))))))</f>
        <v>FCY</v>
      </c>
      <c r="H528" s="325" t="n">
        <v>239.33</v>
      </c>
      <c r="I528" s="340"/>
      <c r="J528" s="340" t="n">
        <v>50</v>
      </c>
      <c r="K528" s="340"/>
      <c r="L528" s="341" t="s">
        <v>574</v>
      </c>
      <c r="M528" s="350" t="str">
        <f aca="false">YEAR('LT records'!$B528)&amp;"-"&amp;MONTH('LT records'!$B528)</f>
        <v>2019-4</v>
      </c>
      <c r="N528" s="343" t="n">
        <f aca="false">'LT records'!$H528+'LT records'!$I528</f>
        <v>239.33</v>
      </c>
      <c r="O528" s="326"/>
      <c r="P528" s="324"/>
      <c r="R528" s="327"/>
    </row>
    <row r="529" customFormat="false" ht="12.8" hidden="false" customHeight="false" outlineLevel="0" collapsed="false">
      <c r="B529" s="351" t="n">
        <v>43572</v>
      </c>
      <c r="C529" s="348" t="n">
        <f aca="false">YEAR('LT records'!$B529)</f>
        <v>2019</v>
      </c>
      <c r="D529" s="346" t="str">
        <f aca="false">'LT records'!$C529&amp;"-"&amp;MONTH('LT records'!$B529)</f>
        <v>2019-4</v>
      </c>
      <c r="E529" s="324" t="s">
        <v>14</v>
      </c>
      <c r="F529" s="324" t="str">
        <f aca="false">LEFT('LT records'!$E529,3)</f>
        <v>CSH</v>
      </c>
      <c r="G529" s="354" t="str">
        <f aca="false">IF(OR('LT records'!$F529="MyF", 'LT records'!$F529="DEP"),"DEP",IF('LT records'!$F529="CSH","CSH",IF('LT records'!$F529="BON","BND",IF('LT records'!$F529="Sma","MKT",IF(OR('LT records'!$F529="Val", 'LT records'!$F529="EUR"),"FCY",IF('LT records'!$F529="X-P","PP3",IF('LT records'!$F529="X-m","XAU","???")))))))</f>
        <v>CSH</v>
      </c>
      <c r="H529" s="325" t="n">
        <v>4584</v>
      </c>
      <c r="I529" s="340"/>
      <c r="J529" s="340"/>
      <c r="K529" s="340"/>
      <c r="L529" s="341" t="s">
        <v>56</v>
      </c>
      <c r="M529" s="350" t="str">
        <f aca="false">YEAR('LT records'!$B529)&amp;"-"&amp;MONTH('LT records'!$B529)</f>
        <v>2019-4</v>
      </c>
      <c r="N529" s="343" t="n">
        <f aca="false">'LT records'!$H529+'LT records'!$I529</f>
        <v>4584</v>
      </c>
      <c r="O529" s="326"/>
      <c r="P529" s="324"/>
      <c r="R529" s="327"/>
    </row>
    <row r="530" customFormat="false" ht="12.8" hidden="false" customHeight="false" outlineLevel="0" collapsed="false">
      <c r="B530" s="351" t="n">
        <v>43580</v>
      </c>
      <c r="C530" s="348" t="n">
        <f aca="false">YEAR('LT records'!$B530)</f>
        <v>2019</v>
      </c>
      <c r="D530" s="346" t="str">
        <f aca="false">'LT records'!$C530&amp;"-"&amp;MONTH('LT records'!$B530)</f>
        <v>2019-4</v>
      </c>
      <c r="E530" s="324" t="s">
        <v>318</v>
      </c>
      <c r="F530" s="324" t="str">
        <f aca="false">LEFT('LT records'!$E530,3)</f>
        <v>X-P</v>
      </c>
      <c r="G530" s="354" t="str">
        <f aca="false">IF(OR('LT records'!$F530="MyF", 'LT records'!$F530="DEP"),"DEP",IF('LT records'!$F530="CSH","CSH",IF('LT records'!$F530="BON","BND",IF('LT records'!$F530="Sma","MKT",IF(OR('LT records'!$F530="Val", 'LT records'!$F530="EUR"),"FCY",IF('LT records'!$F530="X-P","PP3",IF('LT records'!$F530="X-m","XAU","???")))))))</f>
        <v>PP3</v>
      </c>
      <c r="H530" s="325" t="n">
        <v>200</v>
      </c>
      <c r="I530" s="340"/>
      <c r="J530" s="340"/>
      <c r="K530" s="340"/>
      <c r="L530" s="341" t="s">
        <v>558</v>
      </c>
      <c r="M530" s="350" t="str">
        <f aca="false">YEAR('LT records'!$B530)&amp;"-"&amp;MONTH('LT records'!$B530)</f>
        <v>2019-4</v>
      </c>
      <c r="N530" s="343" t="n">
        <f aca="false">'LT records'!$H530+'LT records'!$I530</f>
        <v>200</v>
      </c>
      <c r="O530" s="326"/>
      <c r="P530" s="324"/>
      <c r="R530" s="327"/>
    </row>
    <row r="531" customFormat="false" ht="12.8" hidden="false" customHeight="false" outlineLevel="0" collapsed="false">
      <c r="B531" s="351" t="n">
        <v>43580</v>
      </c>
      <c r="C531" s="348" t="n">
        <f aca="false">YEAR('LT records'!$B531)</f>
        <v>2019</v>
      </c>
      <c r="D531" s="346" t="str">
        <f aca="false">'LT records'!$C531&amp;"-"&amp;MONTH('LT records'!$B531)</f>
        <v>2019-4</v>
      </c>
      <c r="E531" s="324" t="s">
        <v>423</v>
      </c>
      <c r="F531" s="324" t="str">
        <f aca="false">LEFT('LT records'!$E531,3)</f>
        <v>Sma</v>
      </c>
      <c r="G531" s="354" t="str">
        <f aca="false">IF(OR('LT records'!$F531="MyF", 'LT records'!$F531="DEP"),"DEP",IF('LT records'!$F531="CSH","CSH",IF('LT records'!$F531="BON","BND",IF('LT records'!$F531="Sma","MKT",IF(OR('LT records'!$F531="Val", 'LT records'!$F531="EUR"),"FCY",IF('LT records'!$F531="X-P","PP3",IF('LT records'!$F531="X-m","XAU","???")))))))</f>
        <v>MKT</v>
      </c>
      <c r="H531" s="325" t="n">
        <v>1100</v>
      </c>
      <c r="I531" s="340"/>
      <c r="J531" s="340"/>
      <c r="K531" s="340"/>
      <c r="L531" s="341" t="s">
        <v>460</v>
      </c>
      <c r="M531" s="350" t="str">
        <f aca="false">YEAR('LT records'!$B531)&amp;"-"&amp;MONTH('LT records'!$B531)</f>
        <v>2019-4</v>
      </c>
      <c r="N531" s="343" t="n">
        <f aca="false">'LT records'!$H531+'LT records'!$I531</f>
        <v>1100</v>
      </c>
      <c r="O531" s="326"/>
      <c r="P531" s="324"/>
      <c r="R531" s="327"/>
    </row>
    <row r="532" customFormat="false" ht="12.8" hidden="false" customHeight="false" outlineLevel="0" collapsed="false">
      <c r="B532" s="351" t="n">
        <v>43583</v>
      </c>
      <c r="C532" s="348" t="n">
        <f aca="false">YEAR('LT records'!$B532)</f>
        <v>2019</v>
      </c>
      <c r="D532" s="346" t="str">
        <f aca="false">'LT records'!$C532&amp;"-"&amp;MONTH('LT records'!$B532)</f>
        <v>2019-4</v>
      </c>
      <c r="E532" s="324" t="s">
        <v>14</v>
      </c>
      <c r="F532" s="324" t="str">
        <f aca="false">LEFT('LT records'!$E532,3)</f>
        <v>CSH</v>
      </c>
      <c r="G532" s="354" t="str">
        <f aca="false">IF(OR('LT records'!$F532="MyF", 'LT records'!$F532="DEP"),"DEP",IF('LT records'!$F532="CSH","CSH",IF('LT records'!$F532="BON","BND",IF('LT records'!$F532="Sma","MKT",IF(OR('LT records'!$F532="Val", 'LT records'!$F532="EUR"),"FCY",IF('LT records'!$F532="X-P","PP3",IF('LT records'!$F532="X-m","XAU","???")))))))</f>
        <v>CSH</v>
      </c>
      <c r="H532" s="325" t="n">
        <v>50</v>
      </c>
      <c r="I532" s="340" t="n">
        <v>3.46</v>
      </c>
      <c r="J532" s="340"/>
      <c r="K532" s="340"/>
      <c r="L532" s="341" t="s">
        <v>568</v>
      </c>
      <c r="M532" s="350" t="str">
        <f aca="false">YEAR('LT records'!$B532)&amp;"-"&amp;MONTH('LT records'!$B532)</f>
        <v>2019-4</v>
      </c>
      <c r="N532" s="343" t="n">
        <f aca="false">'LT records'!$H532+'LT records'!$I532</f>
        <v>53.46</v>
      </c>
      <c r="O532" s="326"/>
      <c r="P532" s="324"/>
      <c r="R532" s="327"/>
    </row>
    <row r="533" customFormat="false" ht="12.8" hidden="false" customHeight="false" outlineLevel="0" collapsed="false">
      <c r="B533" s="351" t="n">
        <v>43584</v>
      </c>
      <c r="C533" s="348" t="n">
        <f aca="false">YEAR('LT records'!$B533)</f>
        <v>2019</v>
      </c>
      <c r="D533" s="346" t="str">
        <f aca="false">'LT records'!$C533&amp;"-"&amp;MONTH('LT records'!$B533)</f>
        <v>2019-4</v>
      </c>
      <c r="E533" s="324" t="s">
        <v>14</v>
      </c>
      <c r="F533" s="324" t="str">
        <f aca="false">LEFT('LT records'!$E533,3)</f>
        <v>CSH</v>
      </c>
      <c r="G533" s="354" t="str">
        <f aca="false">IF(OR('LT records'!$F533="MyF", 'LT records'!$F533="DEP"),"DEP",IF('LT records'!$F533="CSH","CSH",IF('LT records'!$F533="BON","BND",IF('LT records'!$F533="Sma","MKT",IF(OR('LT records'!$F533="Val", 'LT records'!$F533="EUR"),"FCY",IF('LT records'!$F533="X-P","PP3",IF('LT records'!$F533="X-m","XAU","???")))))))</f>
        <v>CSH</v>
      </c>
      <c r="H533" s="325" t="n">
        <v>-440</v>
      </c>
      <c r="I533" s="340"/>
      <c r="J533" s="340"/>
      <c r="K533" s="340"/>
      <c r="L533" s="341" t="s">
        <v>575</v>
      </c>
      <c r="M533" s="350" t="str">
        <f aca="false">YEAR('LT records'!$B533)&amp;"-"&amp;MONTH('LT records'!$B533)</f>
        <v>2019-4</v>
      </c>
      <c r="N533" s="343" t="n">
        <f aca="false">'LT records'!$H533+'LT records'!$I533</f>
        <v>-440</v>
      </c>
      <c r="O533" s="326"/>
      <c r="P533" s="324"/>
      <c r="R533" s="327"/>
    </row>
    <row r="534" customFormat="false" ht="12.8" hidden="false" customHeight="false" outlineLevel="0" collapsed="false">
      <c r="B534" s="351" t="n">
        <v>43586</v>
      </c>
      <c r="C534" s="348" t="n">
        <f aca="false">YEAR('LT records'!$B534)</f>
        <v>2019</v>
      </c>
      <c r="D534" s="346" t="str">
        <f aca="false">'LT records'!$C534&amp;"-"&amp;MONTH('LT records'!$B534)</f>
        <v>2019-5</v>
      </c>
      <c r="E534" s="324" t="s">
        <v>14</v>
      </c>
      <c r="F534" s="324" t="str">
        <f aca="false">LEFT('LT records'!$E534,3)</f>
        <v>CSH</v>
      </c>
      <c r="G534" s="354" t="str">
        <f aca="false">IF(OR('LT records'!$F534="MyF", 'LT records'!$F534="DEP"),"DEP",IF('LT records'!$F534="CSH","CSH",IF('LT records'!$F534="BON","BND",IF('LT records'!$F534="Sma","MKT",IF(OR('LT records'!$F534="Val", 'LT records'!$F534="EUR"),"FCY",IF('LT records'!$F534="X-P","PP3",IF('LT records'!$F534="X-m","XAU","???")))))))</f>
        <v>CSH</v>
      </c>
      <c r="H534" s="325" t="n">
        <v>585</v>
      </c>
      <c r="I534" s="340"/>
      <c r="J534" s="340"/>
      <c r="K534" s="340"/>
      <c r="L534" s="341" t="s">
        <v>56</v>
      </c>
      <c r="M534" s="350" t="str">
        <f aca="false">YEAR('LT records'!$B534)&amp;"-"&amp;MONTH('LT records'!$B534)</f>
        <v>2019-5</v>
      </c>
      <c r="N534" s="343" t="n">
        <f aca="false">'LT records'!$H534+'LT records'!$I534</f>
        <v>585</v>
      </c>
      <c r="O534" s="326"/>
      <c r="P534" s="324"/>
      <c r="R534" s="327"/>
    </row>
    <row r="535" customFormat="false" ht="12.8" hidden="false" customHeight="false" outlineLevel="0" collapsed="false">
      <c r="B535" s="351" t="n">
        <v>43587</v>
      </c>
      <c r="C535" s="348" t="n">
        <f aca="false">YEAR('LT records'!$B535)</f>
        <v>2019</v>
      </c>
      <c r="D535" s="346" t="str">
        <f aca="false">'LT records'!$C535&amp;"-"&amp;MONTH('LT records'!$B535)</f>
        <v>2019-5</v>
      </c>
      <c r="E535" s="324" t="s">
        <v>14</v>
      </c>
      <c r="F535" s="324" t="str">
        <f aca="false">LEFT('LT records'!$E535,3)</f>
        <v>CSH</v>
      </c>
      <c r="G535" s="354" t="str">
        <f aca="false">IF(OR('LT records'!$F535="MyF", 'LT records'!$F535="DEP"),"DEP",IF('LT records'!$F535="CSH","CSH",IF('LT records'!$F535="BON","BND",IF('LT records'!$F535="Sma","MKT",IF(OR('LT records'!$F535="Val", 'LT records'!$F535="EUR"),"FCY",IF('LT records'!$F535="X-P","PP3",IF('LT records'!$F535="X-m","XAU","???")))))))</f>
        <v>CSH</v>
      </c>
      <c r="H535" s="325" t="n">
        <v>-833.5</v>
      </c>
      <c r="I535" s="340"/>
      <c r="J535" s="340"/>
      <c r="K535" s="340"/>
      <c r="L535" s="341" t="s">
        <v>576</v>
      </c>
      <c r="M535" s="350" t="str">
        <f aca="false">YEAR('LT records'!$B535)&amp;"-"&amp;MONTH('LT records'!$B535)</f>
        <v>2019-5</v>
      </c>
      <c r="N535" s="343" t="n">
        <f aca="false">'LT records'!$H535+'LT records'!$I535</f>
        <v>-833.5</v>
      </c>
      <c r="O535" s="326"/>
      <c r="P535" s="324"/>
      <c r="R535" s="327"/>
    </row>
    <row r="536" customFormat="false" ht="12.8" hidden="false" customHeight="false" outlineLevel="0" collapsed="false">
      <c r="B536" s="351" t="n">
        <v>43587</v>
      </c>
      <c r="C536" s="348" t="n">
        <f aca="false">YEAR('LT records'!$B536)</f>
        <v>2019</v>
      </c>
      <c r="D536" s="346" t="str">
        <f aca="false">'LT records'!$C536&amp;"-"&amp;MONTH('LT records'!$B536)</f>
        <v>2019-5</v>
      </c>
      <c r="E536" s="324" t="s">
        <v>298</v>
      </c>
      <c r="F536" s="324" t="str">
        <f aca="false">LEFT('LT records'!$E536,3)</f>
        <v>DEP</v>
      </c>
      <c r="G536" s="354" t="str">
        <f aca="false">IF(OR('LT records'!$F536="MyF", 'LT records'!$F536="DEP"),"DEP",IF('LT records'!$F536="CSH","CSH",IF('LT records'!$F536="BON","BND",IF('LT records'!$F536="Sma","MKT",IF(OR('LT records'!$F536="Val", 'LT records'!$F536="EUR"),"FCY",IF('LT records'!$F536="X-P","PP3",IF('LT records'!$F536="X-m","XAU","???")))))))</f>
        <v>DEP</v>
      </c>
      <c r="H536" s="325" t="n">
        <v>833.5</v>
      </c>
      <c r="I536" s="340" t="n">
        <v>166.5</v>
      </c>
      <c r="J536" s="340"/>
      <c r="K536" s="340"/>
      <c r="L536" s="341" t="s">
        <v>562</v>
      </c>
      <c r="M536" s="350" t="str">
        <f aca="false">YEAR('LT records'!$B536)&amp;"-"&amp;MONTH('LT records'!$B536)</f>
        <v>2019-5</v>
      </c>
      <c r="N536" s="343" t="n">
        <f aca="false">'LT records'!$H536+'LT records'!$I536</f>
        <v>1000</v>
      </c>
      <c r="O536" s="326"/>
      <c r="P536" s="324"/>
      <c r="R536" s="327"/>
    </row>
    <row r="537" customFormat="false" ht="12.8" hidden="false" customHeight="false" outlineLevel="0" collapsed="false">
      <c r="B537" s="351" t="n">
        <v>43587</v>
      </c>
      <c r="C537" s="348" t="n">
        <f aca="false">YEAR('LT records'!$B537)</f>
        <v>2019</v>
      </c>
      <c r="D537" s="346" t="str">
        <f aca="false">'LT records'!$C537&amp;"-"&amp;MONTH('LT records'!$B537)</f>
        <v>2019-5</v>
      </c>
      <c r="E537" s="324" t="s">
        <v>444</v>
      </c>
      <c r="F537" s="324" t="str">
        <f aca="false">LEFT('LT records'!$E537,3)</f>
        <v>Val</v>
      </c>
      <c r="G537" s="354" t="str">
        <f aca="false">IF(OR('LT records'!$F537="MyF", 'LT records'!$F537="DEP"),"DEP",IF('LT records'!$F537="CSH","CSH",IF('LT records'!$F537="BON","BND",IF('LT records'!$F537="Sma","MKT",IF(OR('LT records'!$F537="Val", 'LT records'!$F537="EUR"),"FCY",IF('LT records'!$F537="X-P","PP3",IF('LT records'!$F537="X-m","XAU","???")))))))</f>
        <v>FCY</v>
      </c>
      <c r="H537" s="325" t="n">
        <v>0</v>
      </c>
      <c r="I537" s="340"/>
      <c r="J537" s="340" t="n">
        <v>-6.4</v>
      </c>
      <c r="K537" s="340"/>
      <c r="L537" s="341" t="s">
        <v>577</v>
      </c>
      <c r="M537" s="350" t="str">
        <f aca="false">YEAR('LT records'!$B537)&amp;"-"&amp;MONTH('LT records'!$B537)</f>
        <v>2019-5</v>
      </c>
      <c r="N537" s="343" t="n">
        <f aca="false">'LT records'!$H537+'LT records'!$I537</f>
        <v>0</v>
      </c>
      <c r="O537" s="326"/>
      <c r="P537" s="324"/>
      <c r="R537" s="327"/>
    </row>
    <row r="538" customFormat="false" ht="12.8" hidden="false" customHeight="false" outlineLevel="0" collapsed="false">
      <c r="B538" s="351" t="n">
        <v>43587</v>
      </c>
      <c r="C538" s="348" t="n">
        <f aca="false">YEAR('LT records'!$B538)</f>
        <v>2019</v>
      </c>
      <c r="D538" s="346" t="str">
        <f aca="false">'LT records'!$C538&amp;"-"&amp;MONTH('LT records'!$B538)</f>
        <v>2019-5</v>
      </c>
      <c r="E538" s="324" t="s">
        <v>468</v>
      </c>
      <c r="F538" s="324" t="str">
        <f aca="false">LEFT('LT records'!$E538,3)</f>
        <v>EUR</v>
      </c>
      <c r="G538" s="354" t="str">
        <f aca="false">IF(OR('LT records'!$F538="MyF", 'LT records'!$F538="DEP"),"DEP",IF('LT records'!$F538="CSH","CSH",IF('LT records'!$F538="BON","BND",IF('LT records'!$F538="Sma","MKT",IF(OR('LT records'!$F538="Val", 'LT records'!$F538="EUR"),"FCY",IF('LT records'!$F538="X-P","PP3",IF('LT records'!$F538="X-m","XAU","???")))))))</f>
        <v>FCY</v>
      </c>
      <c r="H538" s="325" t="n">
        <v>0</v>
      </c>
      <c r="I538" s="340"/>
      <c r="J538" s="340" t="n">
        <v>6.4</v>
      </c>
      <c r="K538" s="340" t="n">
        <v>3.6</v>
      </c>
      <c r="L538" s="341" t="s">
        <v>562</v>
      </c>
      <c r="M538" s="350" t="str">
        <f aca="false">YEAR('LT records'!$B538)&amp;"-"&amp;MONTH('LT records'!$B538)</f>
        <v>2019-5</v>
      </c>
      <c r="N538" s="343" t="n">
        <f aca="false">'LT records'!$H538+'LT records'!$I538</f>
        <v>0</v>
      </c>
      <c r="O538" s="326"/>
      <c r="P538" s="324"/>
      <c r="R538" s="327"/>
    </row>
    <row r="539" customFormat="false" ht="12.8" hidden="false" customHeight="false" outlineLevel="0" collapsed="false">
      <c r="B539" s="351" t="n">
        <v>43591</v>
      </c>
      <c r="C539" s="348" t="n">
        <f aca="false">YEAR('LT records'!$B539)</f>
        <v>2019</v>
      </c>
      <c r="D539" s="346" t="str">
        <f aca="false">'LT records'!$C539&amp;"-"&amp;MONTH('LT records'!$B539)</f>
        <v>2019-5</v>
      </c>
      <c r="E539" s="324" t="s">
        <v>14</v>
      </c>
      <c r="F539" s="324" t="str">
        <f aca="false">LEFT('LT records'!$E539,3)</f>
        <v>CSH</v>
      </c>
      <c r="G539" s="354" t="str">
        <f aca="false">IF(OR('LT records'!$F539="MyF", 'LT records'!$F539="DEP"),"DEP",IF('LT records'!$F539="CSH","CSH",IF('LT records'!$F539="BON","BND",IF('LT records'!$F539="Sma","MKT",IF(OR('LT records'!$F539="Val", 'LT records'!$F539="EUR"),"FCY",IF('LT records'!$F539="X-P","PP3",IF('LT records'!$F539="X-m","XAU","???")))))))</f>
        <v>CSH</v>
      </c>
      <c r="H539" s="325" t="n">
        <v>-800</v>
      </c>
      <c r="I539" s="340"/>
      <c r="J539" s="340"/>
      <c r="K539" s="340"/>
      <c r="L539" s="341" t="s">
        <v>480</v>
      </c>
      <c r="M539" s="350" t="str">
        <f aca="false">YEAR('LT records'!$B539)&amp;"-"&amp;MONTH('LT records'!$B539)</f>
        <v>2019-5</v>
      </c>
      <c r="N539" s="343" t="n">
        <f aca="false">'LT records'!$H539+'LT records'!$I539</f>
        <v>-800</v>
      </c>
      <c r="O539" s="326"/>
      <c r="P539" s="324"/>
      <c r="R539" s="327"/>
    </row>
    <row r="540" customFormat="false" ht="12.8" hidden="false" customHeight="false" outlineLevel="0" collapsed="false">
      <c r="B540" s="351" t="n">
        <v>43602</v>
      </c>
      <c r="C540" s="348" t="n">
        <f aca="false">YEAR('LT records'!$B540)</f>
        <v>2019</v>
      </c>
      <c r="D540" s="346" t="str">
        <f aca="false">'LT records'!$C540&amp;"-"&amp;MONTH('LT records'!$B540)</f>
        <v>2019-5</v>
      </c>
      <c r="E540" s="324" t="s">
        <v>318</v>
      </c>
      <c r="F540" s="324" t="str">
        <f aca="false">LEFT('LT records'!$E540,3)</f>
        <v>X-P</v>
      </c>
      <c r="G540" s="354" t="str">
        <f aca="false">IF(OR('LT records'!$F540="MyF", 'LT records'!$F540="DEP"),"DEP",IF('LT records'!$F540="CSH","CSH",IF('LT records'!$F540="BON","BND",IF('LT records'!$F540="Sma","MKT",IF(OR('LT records'!$F540="Val", 'LT records'!$F540="EUR"),"FCY",IF('LT records'!$F540="X-P","PP3",IF('LT records'!$F540="X-m","XAU","???")))))))</f>
        <v>PP3</v>
      </c>
      <c r="H540" s="325" t="n">
        <v>150</v>
      </c>
      <c r="I540" s="340"/>
      <c r="J540" s="340"/>
      <c r="K540" s="340"/>
      <c r="L540" s="353" t="s">
        <v>527</v>
      </c>
      <c r="M540" s="350" t="str">
        <f aca="false">YEAR('LT records'!$B540)&amp;"-"&amp;MONTH('LT records'!$B540)</f>
        <v>2019-5</v>
      </c>
      <c r="N540" s="343" t="n">
        <f aca="false">'LT records'!$H540+'LT records'!$I540</f>
        <v>150</v>
      </c>
      <c r="O540" s="326"/>
      <c r="P540" s="324"/>
      <c r="R540" s="327"/>
    </row>
    <row r="541" customFormat="false" ht="12.8" hidden="false" customHeight="false" outlineLevel="0" collapsed="false">
      <c r="B541" s="351" t="n">
        <v>43603</v>
      </c>
      <c r="C541" s="348" t="n">
        <f aca="false">YEAR('LT records'!$B541)</f>
        <v>2019</v>
      </c>
      <c r="D541" s="346" t="str">
        <f aca="false">'LT records'!$C541&amp;"-"&amp;MONTH('LT records'!$B541)</f>
        <v>2019-5</v>
      </c>
      <c r="E541" s="324" t="s">
        <v>14</v>
      </c>
      <c r="F541" s="324" t="str">
        <f aca="false">LEFT('LT records'!$E541,3)</f>
        <v>CSH</v>
      </c>
      <c r="G541" s="354" t="str">
        <f aca="false">IF(OR('LT records'!$F541="MyF", 'LT records'!$F541="DEP"),"DEP",IF('LT records'!$F541="CSH","CSH",IF('LT records'!$F541="BON","BND",IF('LT records'!$F541="Sma","MKT",IF(OR('LT records'!$F541="Val", 'LT records'!$F541="EUR"),"FCY",IF('LT records'!$F541="X-P","PP3",IF('LT records'!$F541="X-m","XAU","???")))))))</f>
        <v>CSH</v>
      </c>
      <c r="H541" s="325" t="n">
        <v>11901</v>
      </c>
      <c r="I541" s="340"/>
      <c r="J541" s="340"/>
      <c r="K541" s="340"/>
      <c r="L541" s="341" t="s">
        <v>578</v>
      </c>
      <c r="M541" s="350" t="str">
        <f aca="false">YEAR('LT records'!$B541)&amp;"-"&amp;MONTH('LT records'!$B541)</f>
        <v>2019-5</v>
      </c>
      <c r="N541" s="343" t="n">
        <f aca="false">'LT records'!$H541+'LT records'!$I541</f>
        <v>11901</v>
      </c>
      <c r="O541" s="326"/>
      <c r="P541" s="324"/>
      <c r="R541" s="327"/>
    </row>
    <row r="542" customFormat="false" ht="12.8" hidden="false" customHeight="false" outlineLevel="0" collapsed="false">
      <c r="B542" s="351" t="n">
        <v>43605</v>
      </c>
      <c r="C542" s="348" t="n">
        <f aca="false">YEAR('LT records'!$B542)</f>
        <v>2019</v>
      </c>
      <c r="D542" s="346" t="str">
        <f aca="false">'LT records'!$C542&amp;"-"&amp;MONTH('LT records'!$B542)</f>
        <v>2019-5</v>
      </c>
      <c r="E542" s="324" t="s">
        <v>14</v>
      </c>
      <c r="F542" s="324" t="str">
        <f aca="false">LEFT('LT records'!$E542,3)</f>
        <v>CSH</v>
      </c>
      <c r="G542" s="354" t="str">
        <f aca="false">IF(OR('LT records'!$F542="MyF", 'LT records'!$F542="DEP"),"DEP",IF('LT records'!$F542="CSH","CSH",IF('LT records'!$F542="BON","BND",IF('LT records'!$F542="Sma","MKT",IF(OR('LT records'!$F542="Val", 'LT records'!$F542="EUR"),"FCY",IF('LT records'!$F542="X-P","PP3",IF('LT records'!$F542="X-m","XAU","???")))))))</f>
        <v>CSH</v>
      </c>
      <c r="H542" s="325" t="n">
        <f aca="false">-8000+55</f>
        <v>-7945</v>
      </c>
      <c r="I542" s="340"/>
      <c r="J542" s="340"/>
      <c r="K542" s="340"/>
      <c r="L542" s="341" t="s">
        <v>579</v>
      </c>
      <c r="M542" s="350" t="str">
        <f aca="false">YEAR('LT records'!$B542)&amp;"-"&amp;MONTH('LT records'!$B542)</f>
        <v>2019-5</v>
      </c>
      <c r="N542" s="343" t="n">
        <f aca="false">'LT records'!$H542+'LT records'!$I542</f>
        <v>-7945</v>
      </c>
      <c r="O542" s="326"/>
      <c r="P542" s="324"/>
      <c r="R542" s="327"/>
    </row>
    <row r="543" customFormat="false" ht="12.8" hidden="false" customHeight="false" outlineLevel="0" collapsed="false">
      <c r="B543" s="351" t="n">
        <v>43609</v>
      </c>
      <c r="C543" s="348" t="n">
        <f aca="false">YEAR('LT records'!$B543)</f>
        <v>2019</v>
      </c>
      <c r="D543" s="346" t="str">
        <f aca="false">'LT records'!$C543&amp;"-"&amp;MONTH('LT records'!$B543)</f>
        <v>2019-5</v>
      </c>
      <c r="E543" s="324" t="s">
        <v>14</v>
      </c>
      <c r="F543" s="324" t="str">
        <f aca="false">LEFT('LT records'!$E543,3)</f>
        <v>CSH</v>
      </c>
      <c r="G543" s="354" t="str">
        <f aca="false">IF(OR('LT records'!$F543="MyF", 'LT records'!$F543="DEP"),"DEP",IF('LT records'!$F543="CSH","CSH",IF('LT records'!$F543="BON","BND",IF('LT records'!$F543="Sma","MKT",IF(OR('LT records'!$F543="Val", 'LT records'!$F543="EUR"),"FCY",IF('LT records'!$F543="X-P","PP3",IF('LT records'!$F543="X-m","XAU","???")))))))</f>
        <v>CSH</v>
      </c>
      <c r="H543" s="325" t="n">
        <v>-378</v>
      </c>
      <c r="I543" s="340"/>
      <c r="J543" s="340"/>
      <c r="K543" s="340"/>
      <c r="L543" s="341" t="s">
        <v>580</v>
      </c>
      <c r="M543" s="350" t="str">
        <f aca="false">YEAR('LT records'!$B543)&amp;"-"&amp;MONTH('LT records'!$B543)</f>
        <v>2019-5</v>
      </c>
      <c r="N543" s="343" t="n">
        <f aca="false">'LT records'!$H543+'LT records'!$I543</f>
        <v>-378</v>
      </c>
      <c r="O543" s="326"/>
      <c r="P543" s="324"/>
      <c r="R543" s="327"/>
    </row>
    <row r="544" customFormat="false" ht="12.8" hidden="false" customHeight="false" outlineLevel="0" collapsed="false">
      <c r="B544" s="351" t="n">
        <v>43610</v>
      </c>
      <c r="C544" s="348" t="n">
        <f aca="false">YEAR('LT records'!$B544)</f>
        <v>2019</v>
      </c>
      <c r="D544" s="346" t="str">
        <f aca="false">'LT records'!$C544&amp;"-"&amp;MONTH('LT records'!$B544)</f>
        <v>2019-5</v>
      </c>
      <c r="E544" s="324" t="s">
        <v>318</v>
      </c>
      <c r="F544" s="324" t="str">
        <f aca="false">LEFT('LT records'!$E544,3)</f>
        <v>X-P</v>
      </c>
      <c r="G544" s="354" t="str">
        <f aca="false">IF(OR('LT records'!$F544="MyF", 'LT records'!$F544="DEP"),"DEP",IF('LT records'!$F544="CSH","CSH",IF('LT records'!$F544="BON","BND",IF('LT records'!$F544="Sma","MKT",IF(OR('LT records'!$F544="Val", 'LT records'!$F544="EUR"),"FCY",IF('LT records'!$F544="X-P","PP3",IF('LT records'!$F544="X-m","XAU","???")))))))</f>
        <v>PP3</v>
      </c>
      <c r="H544" s="325" t="n">
        <v>200</v>
      </c>
      <c r="I544" s="340"/>
      <c r="J544" s="340"/>
      <c r="K544" s="340"/>
      <c r="L544" s="341" t="s">
        <v>558</v>
      </c>
      <c r="M544" s="350" t="str">
        <f aca="false">YEAR('LT records'!$B544)&amp;"-"&amp;MONTH('LT records'!$B544)</f>
        <v>2019-5</v>
      </c>
      <c r="N544" s="343" t="n">
        <f aca="false">'LT records'!$H544+'LT records'!$I544</f>
        <v>200</v>
      </c>
      <c r="O544" s="326"/>
      <c r="P544" s="324"/>
      <c r="R544" s="327"/>
    </row>
    <row r="545" customFormat="false" ht="12.8" hidden="false" customHeight="false" outlineLevel="0" collapsed="false">
      <c r="B545" s="351" t="n">
        <v>43610</v>
      </c>
      <c r="C545" s="348" t="n">
        <f aca="false">YEAR('LT records'!$B545)</f>
        <v>2019</v>
      </c>
      <c r="D545" s="346" t="str">
        <f aca="false">'LT records'!$C545&amp;"-"&amp;MONTH('LT records'!$B545)</f>
        <v>2019-5</v>
      </c>
      <c r="E545" s="324" t="s">
        <v>423</v>
      </c>
      <c r="F545" s="324" t="str">
        <f aca="false">LEFT('LT records'!$E545,3)</f>
        <v>Sma</v>
      </c>
      <c r="G545" s="354" t="str">
        <f aca="false">IF(OR('LT records'!$F545="MyF", 'LT records'!$F545="DEP"),"DEP",IF('LT records'!$F545="CSH","CSH",IF('LT records'!$F545="BON","BND",IF('LT records'!$F545="Sma","MKT",IF(OR('LT records'!$F545="Val", 'LT records'!$F545="EUR"),"FCY",IF('LT records'!$F545="X-P","PP3",IF('LT records'!$F545="X-m","XAU","???")))))))</f>
        <v>MKT</v>
      </c>
      <c r="H545" s="325" t="n">
        <v>1100</v>
      </c>
      <c r="I545" s="340"/>
      <c r="J545" s="340"/>
      <c r="K545" s="340"/>
      <c r="L545" s="341" t="s">
        <v>460</v>
      </c>
      <c r="M545" s="350" t="str">
        <f aca="false">YEAR('LT records'!$B545)&amp;"-"&amp;MONTH('LT records'!$B545)</f>
        <v>2019-5</v>
      </c>
      <c r="N545" s="343" t="n">
        <f aca="false">'LT records'!$H545+'LT records'!$I545</f>
        <v>1100</v>
      </c>
      <c r="O545" s="326"/>
      <c r="P545" s="324"/>
      <c r="R545" s="327"/>
    </row>
    <row r="546" customFormat="false" ht="12.8" hidden="false" customHeight="false" outlineLevel="0" collapsed="false">
      <c r="B546" s="351" t="n">
        <v>43612</v>
      </c>
      <c r="C546" s="348" t="n">
        <f aca="false">YEAR('LT records'!$B546)</f>
        <v>2019</v>
      </c>
      <c r="D546" s="346" t="str">
        <f aca="false">'LT records'!$C546&amp;"-"&amp;MONTH('LT records'!$B546)</f>
        <v>2019-5</v>
      </c>
      <c r="E546" s="324" t="s">
        <v>14</v>
      </c>
      <c r="F546" s="324" t="str">
        <f aca="false">LEFT('LT records'!$E546,3)</f>
        <v>CSH</v>
      </c>
      <c r="G546" s="354" t="str">
        <f aca="false">IF(OR('LT records'!$F546="MyF", 'LT records'!$F546="DEP"),"DEP",IF('LT records'!$F546="CSH","CSH",IF('LT records'!$F546="BON","BND",IF('LT records'!$F546="Sma","MKT",IF(OR('LT records'!$F546="Val", 'LT records'!$F546="EUR"),"FCY",IF('LT records'!$F546="X-P","PP3",IF('LT records'!$F546="X-m","XAU","???")))))))</f>
        <v>CSH</v>
      </c>
      <c r="H546" s="325" t="n">
        <v>-57</v>
      </c>
      <c r="I546" s="340"/>
      <c r="J546" s="340"/>
      <c r="K546" s="340"/>
      <c r="L546" s="341" t="s">
        <v>474</v>
      </c>
      <c r="M546" s="350" t="str">
        <f aca="false">YEAR('LT records'!$B546)&amp;"-"&amp;MONTH('LT records'!$B546)</f>
        <v>2019-5</v>
      </c>
      <c r="N546" s="343" t="n">
        <f aca="false">'LT records'!$H546+'LT records'!$I546</f>
        <v>-57</v>
      </c>
      <c r="O546" s="326"/>
      <c r="P546" s="324"/>
      <c r="R546" s="327"/>
    </row>
    <row r="547" customFormat="false" ht="12.8" hidden="false" customHeight="false" outlineLevel="0" collapsed="false">
      <c r="B547" s="351" t="n">
        <v>43612</v>
      </c>
      <c r="C547" s="348" t="n">
        <f aca="false">YEAR('LT records'!$B547)</f>
        <v>2019</v>
      </c>
      <c r="D547" s="346" t="str">
        <f aca="false">'LT records'!$C547&amp;"-"&amp;MONTH('LT records'!$B547)</f>
        <v>2019-5</v>
      </c>
      <c r="E547" s="324" t="s">
        <v>444</v>
      </c>
      <c r="F547" s="324" t="str">
        <f aca="false">LEFT('LT records'!$E547,3)</f>
        <v>Val</v>
      </c>
      <c r="G547" s="354" t="str">
        <f aca="false">IF(OR('LT records'!$F547="MyF", 'LT records'!$F547="DEP"),"DEP",IF('LT records'!$F547="CSH","CSH",IF('LT records'!$F547="BON","BND",IF('LT records'!$F547="Sma","MKT",IF(OR('LT records'!$F547="Val", 'LT records'!$F547="EUR"),"FCY",IF('LT records'!$F547="X-P","PP3",IF('LT records'!$F547="X-m","XAU","???")))))))</f>
        <v>FCY</v>
      </c>
      <c r="H547" s="325" t="n">
        <v>57.98</v>
      </c>
      <c r="I547" s="340"/>
      <c r="J547" s="340" t="n">
        <v>12.11</v>
      </c>
      <c r="K547" s="340"/>
      <c r="L547" s="341" t="s">
        <v>581</v>
      </c>
      <c r="M547" s="350" t="str">
        <f aca="false">YEAR('LT records'!$B547)&amp;"-"&amp;MONTH('LT records'!$B547)</f>
        <v>2019-5</v>
      </c>
      <c r="N547" s="343" t="n">
        <f aca="false">'LT records'!$H547+'LT records'!$I547</f>
        <v>57.98</v>
      </c>
      <c r="O547" s="326"/>
      <c r="P547" s="324"/>
      <c r="R547" s="327"/>
    </row>
    <row r="548" customFormat="false" ht="12.8" hidden="false" customHeight="false" outlineLevel="0" collapsed="false">
      <c r="B548" s="351" t="n">
        <v>43613</v>
      </c>
      <c r="C548" s="348" t="n">
        <f aca="false">YEAR('LT records'!$B548)</f>
        <v>2019</v>
      </c>
      <c r="D548" s="346" t="str">
        <f aca="false">'LT records'!$C548&amp;"-"&amp;MONTH('LT records'!$B548)</f>
        <v>2019-5</v>
      </c>
      <c r="E548" s="324" t="s">
        <v>14</v>
      </c>
      <c r="F548" s="324" t="str">
        <f aca="false">LEFT('LT records'!$E548,3)</f>
        <v>CSH</v>
      </c>
      <c r="G548" s="354" t="str">
        <f aca="false">IF(OR('LT records'!$F548="MyF", 'LT records'!$F548="DEP"),"DEP",IF('LT records'!$F548="CSH","CSH",IF('LT records'!$F548="BON","BND",IF('LT records'!$F548="Sma","MKT",IF(OR('LT records'!$F548="Val", 'LT records'!$F548="EUR"),"FCY",IF('LT records'!$F548="X-P","PP3",IF('LT records'!$F548="X-m","XAU","???")))))))</f>
        <v>CSH</v>
      </c>
      <c r="H548" s="325" t="n">
        <v>50</v>
      </c>
      <c r="I548" s="340" t="n">
        <v>5.96</v>
      </c>
      <c r="J548" s="340"/>
      <c r="K548" s="340"/>
      <c r="L548" s="341" t="s">
        <v>568</v>
      </c>
      <c r="M548" s="350" t="str">
        <f aca="false">YEAR('LT records'!$B548)&amp;"-"&amp;MONTH('LT records'!$B548)</f>
        <v>2019-5</v>
      </c>
      <c r="N548" s="343" t="n">
        <f aca="false">'LT records'!$H548+'LT records'!$I548</f>
        <v>55.96</v>
      </c>
      <c r="O548" s="326"/>
      <c r="P548" s="324"/>
      <c r="R548" s="327"/>
    </row>
    <row r="549" customFormat="false" ht="12.8" hidden="false" customHeight="false" outlineLevel="0" collapsed="false">
      <c r="B549" s="351" t="n">
        <v>43620</v>
      </c>
      <c r="C549" s="348" t="n">
        <f aca="false">YEAR('LT records'!$B549)</f>
        <v>2019</v>
      </c>
      <c r="D549" s="346" t="str">
        <f aca="false">'LT records'!$C549&amp;"-"&amp;MONTH('LT records'!$B549)</f>
        <v>2019-6</v>
      </c>
      <c r="E549" s="324" t="s">
        <v>300</v>
      </c>
      <c r="F549" s="324" t="str">
        <f aca="false">LEFT('LT records'!$E549,3)</f>
        <v>DEP</v>
      </c>
      <c r="G549" s="354" t="str">
        <f aca="false">IF(OR('LT records'!$F549="MyF", 'LT records'!$F549="DEP"),"DEP",IF('LT records'!$F549="CSH","CSH",IF('LT records'!$F549="BON","BND",IF('LT records'!$F549="Sma","MKT",IF(OR('LT records'!$F549="Val", 'LT records'!$F549="EUR"),"FCY",IF('LT records'!$F549="X-P","PP3",IF('LT records'!$F549="X-m","XAU","???")))))))</f>
        <v>DEP</v>
      </c>
      <c r="H549" s="325" t="n">
        <v>833.5</v>
      </c>
      <c r="I549" s="340" t="n">
        <v>166.5</v>
      </c>
      <c r="J549" s="340"/>
      <c r="K549" s="340"/>
      <c r="L549" s="341" t="s">
        <v>582</v>
      </c>
      <c r="M549" s="350" t="str">
        <f aca="false">YEAR('LT records'!$B549)&amp;"-"&amp;MONTH('LT records'!$B549)</f>
        <v>2019-6</v>
      </c>
      <c r="N549" s="343" t="n">
        <f aca="false">'LT records'!$H549+'LT records'!$I549</f>
        <v>1000</v>
      </c>
      <c r="O549" s="326"/>
      <c r="P549" s="324"/>
      <c r="R549" s="327"/>
    </row>
    <row r="550" customFormat="false" ht="12.8" hidden="false" customHeight="false" outlineLevel="0" collapsed="false">
      <c r="B550" s="351" t="n">
        <v>43620</v>
      </c>
      <c r="C550" s="348" t="n">
        <f aca="false">YEAR('LT records'!$B550)</f>
        <v>2019</v>
      </c>
      <c r="D550" s="346" t="str">
        <f aca="false">'LT records'!$C550&amp;"-"&amp;MONTH('LT records'!$B550)</f>
        <v>2019-6</v>
      </c>
      <c r="E550" s="324" t="s">
        <v>14</v>
      </c>
      <c r="F550" s="324" t="str">
        <f aca="false">LEFT('LT records'!$E550,3)</f>
        <v>CSH</v>
      </c>
      <c r="G550" s="354" t="str">
        <f aca="false">IF(OR('LT records'!$F550="MyF", 'LT records'!$F550="DEP"),"DEP",IF('LT records'!$F550="CSH","CSH",IF('LT records'!$F550="BON","BND",IF('LT records'!$F550="Sma","MKT",IF(OR('LT records'!$F550="Val", 'LT records'!$F550="EUR"),"FCY",IF('LT records'!$F550="X-P","PP3",IF('LT records'!$F550="X-m","XAU","???")))))))</f>
        <v>CSH</v>
      </c>
      <c r="H550" s="325" t="n">
        <v>-833.5</v>
      </c>
      <c r="I550" s="340"/>
      <c r="J550" s="340"/>
      <c r="K550" s="340"/>
      <c r="L550" s="341" t="s">
        <v>583</v>
      </c>
      <c r="M550" s="350" t="str">
        <f aca="false">YEAR('LT records'!$B550)&amp;"-"&amp;MONTH('LT records'!$B550)</f>
        <v>2019-6</v>
      </c>
      <c r="N550" s="343" t="n">
        <f aca="false">'LT records'!$H550+'LT records'!$I550</f>
        <v>-833.5</v>
      </c>
      <c r="O550" s="326"/>
      <c r="P550" s="324"/>
      <c r="R550" s="327"/>
    </row>
    <row r="551" customFormat="false" ht="12.8" hidden="false" customHeight="false" outlineLevel="0" collapsed="false">
      <c r="B551" s="351" t="n">
        <v>43620</v>
      </c>
      <c r="C551" s="348" t="n">
        <f aca="false">YEAR('LT records'!$B551)</f>
        <v>2019</v>
      </c>
      <c r="D551" s="346" t="str">
        <f aca="false">'LT records'!$C551&amp;"-"&amp;MONTH('LT records'!$B551)</f>
        <v>2019-6</v>
      </c>
      <c r="E551" s="324" t="s">
        <v>444</v>
      </c>
      <c r="F551" s="324" t="str">
        <f aca="false">LEFT('LT records'!$E551,3)</f>
        <v>Val</v>
      </c>
      <c r="G551" s="354" t="str">
        <f aca="false">IF(OR('LT records'!$F551="MyF", 'LT records'!$F551="DEP"),"DEP",IF('LT records'!$F551="CSH","CSH",IF('LT records'!$F551="BON","BND",IF('LT records'!$F551="Sma","MKT",IF(OR('LT records'!$F551="Val", 'LT records'!$F551="EUR"),"FCY",IF('LT records'!$F551="X-P","PP3",IF('LT records'!$F551="X-m","XAU","???")))))))</f>
        <v>FCY</v>
      </c>
      <c r="H551" s="325" t="n">
        <v>0</v>
      </c>
      <c r="I551" s="340"/>
      <c r="J551" s="325" t="n">
        <v>-6.4</v>
      </c>
      <c r="K551" s="340"/>
      <c r="L551" s="341" t="s">
        <v>584</v>
      </c>
      <c r="M551" s="350" t="str">
        <f aca="false">YEAR('LT records'!$B551)&amp;"-"&amp;MONTH('LT records'!$B551)</f>
        <v>2019-6</v>
      </c>
      <c r="N551" s="343" t="n">
        <f aca="false">'LT records'!$H551+'LT records'!$I551</f>
        <v>0</v>
      </c>
      <c r="O551" s="326"/>
      <c r="P551" s="324"/>
      <c r="R551" s="327"/>
    </row>
    <row r="552" customFormat="false" ht="12.8" hidden="false" customHeight="false" outlineLevel="0" collapsed="false">
      <c r="B552" s="351" t="n">
        <v>43620</v>
      </c>
      <c r="C552" s="348" t="n">
        <f aca="false">YEAR('LT records'!$B552)</f>
        <v>2019</v>
      </c>
      <c r="D552" s="346" t="str">
        <f aca="false">'LT records'!$C552&amp;"-"&amp;MONTH('LT records'!$B552)</f>
        <v>2019-6</v>
      </c>
      <c r="E552" s="324" t="s">
        <v>489</v>
      </c>
      <c r="F552" s="324" t="str">
        <f aca="false">LEFT('LT records'!$E552,3)</f>
        <v>EUR</v>
      </c>
      <c r="G552" s="354" t="str">
        <f aca="false">IF(OR('LT records'!$F552="MyF", 'LT records'!$F552="DEP"),"DEP",IF('LT records'!$F552="CSH","CSH",IF('LT records'!$F552="BON","BND",IF('LT records'!$F552="Sma","MKT",IF(OR('LT records'!$F552="Val", 'LT records'!$F552="EUR"),"FCY",IF('LT records'!$F552="X-P","PP3",IF('LT records'!$F552="X-m","XAU","???")))))))</f>
        <v>FCY</v>
      </c>
      <c r="H552" s="325" t="n">
        <v>0</v>
      </c>
      <c r="I552" s="340"/>
      <c r="J552" s="325" t="n">
        <v>6.4</v>
      </c>
      <c r="K552" s="340" t="n">
        <v>3.6</v>
      </c>
      <c r="L552" s="341" t="s">
        <v>585</v>
      </c>
      <c r="M552" s="350" t="str">
        <f aca="false">YEAR('LT records'!$B552)&amp;"-"&amp;MONTH('LT records'!$B552)</f>
        <v>2019-6</v>
      </c>
      <c r="N552" s="343" t="n">
        <f aca="false">'LT records'!$H552+'LT records'!$I552</f>
        <v>0</v>
      </c>
      <c r="O552" s="326"/>
      <c r="P552" s="324"/>
      <c r="R552" s="327"/>
    </row>
    <row r="553" customFormat="false" ht="12.8" hidden="false" customHeight="false" outlineLevel="0" collapsed="false">
      <c r="B553" s="351" t="n">
        <v>43627</v>
      </c>
      <c r="C553" s="348" t="n">
        <f aca="false">YEAR('LT records'!$B553)</f>
        <v>2019</v>
      </c>
      <c r="D553" s="346" t="str">
        <f aca="false">'LT records'!$C553&amp;"-"&amp;MONTH('LT records'!$B553)</f>
        <v>2019-6</v>
      </c>
      <c r="E553" s="324" t="s">
        <v>14</v>
      </c>
      <c r="F553" s="324" t="str">
        <f aca="false">LEFT('LT records'!$E553,3)</f>
        <v>CSH</v>
      </c>
      <c r="G553" s="354" t="str">
        <f aca="false">IF(OR('LT records'!$F553="MyF", 'LT records'!$F553="DEP"),"DEP",IF('LT records'!$F553="CSH","CSH",IF('LT records'!$F553="BON","BND",IF('LT records'!$F553="Sma","MKT",IF(OR('LT records'!$F553="Val", 'LT records'!$F553="EUR"),"FCY",IF('LT records'!$F553="X-P","PP3",IF('LT records'!$F553="X-m","XAU","???")))))))</f>
        <v>CSH</v>
      </c>
      <c r="H553" s="325" t="n">
        <f aca="false">-150</f>
        <v>-150</v>
      </c>
      <c r="I553" s="340"/>
      <c r="J553" s="340"/>
      <c r="K553" s="340"/>
      <c r="L553" s="341" t="s">
        <v>586</v>
      </c>
      <c r="M553" s="350" t="str">
        <f aca="false">YEAR('LT records'!$B553)&amp;"-"&amp;MONTH('LT records'!$B553)</f>
        <v>2019-6</v>
      </c>
      <c r="N553" s="343" t="n">
        <f aca="false">'LT records'!$H553+'LT records'!$I553</f>
        <v>-150</v>
      </c>
      <c r="O553" s="326"/>
      <c r="P553" s="324"/>
      <c r="R553" s="327"/>
    </row>
    <row r="554" customFormat="false" ht="12.8" hidden="false" customHeight="false" outlineLevel="0" collapsed="false">
      <c r="B554" s="351" t="n">
        <v>43636</v>
      </c>
      <c r="C554" s="348" t="n">
        <f aca="false">YEAR('LT records'!$B554)</f>
        <v>2019</v>
      </c>
      <c r="D554" s="346" t="str">
        <f aca="false">'LT records'!$C554&amp;"-"&amp;MONTH('LT records'!$B554)</f>
        <v>2019-6</v>
      </c>
      <c r="E554" s="324" t="s">
        <v>14</v>
      </c>
      <c r="F554" s="324" t="str">
        <f aca="false">LEFT('LT records'!$E554,3)</f>
        <v>CSH</v>
      </c>
      <c r="G554" s="354" t="str">
        <f aca="false">IF(OR('LT records'!$F554="MyF", 'LT records'!$F554="DEP"),"DEP",IF('LT records'!$F554="CSH","CSH",IF('LT records'!$F554="BON","BND",IF('LT records'!$F554="Sma","MKT",IF(OR('LT records'!$F554="Val", 'LT records'!$F554="EUR"),"FCY",IF('LT records'!$F554="X-P","PP3",IF('LT records'!$F554="X-m","XAU","???")))))))</f>
        <v>CSH</v>
      </c>
      <c r="H554" s="325" t="n">
        <f aca="false">-642-4350+25</f>
        <v>-4967</v>
      </c>
      <c r="I554" s="340"/>
      <c r="J554" s="340"/>
      <c r="K554" s="340"/>
      <c r="L554" s="341" t="s">
        <v>587</v>
      </c>
      <c r="M554" s="350" t="str">
        <f aca="false">YEAR('LT records'!$B554)&amp;"-"&amp;MONTH('LT records'!$B554)</f>
        <v>2019-6</v>
      </c>
      <c r="N554" s="343" t="n">
        <f aca="false">'LT records'!$H554+'LT records'!$I554</f>
        <v>-4967</v>
      </c>
      <c r="O554" s="326"/>
      <c r="P554" s="324"/>
      <c r="R554" s="327"/>
    </row>
    <row r="555" customFormat="false" ht="12.8" hidden="false" customHeight="false" outlineLevel="0" collapsed="false">
      <c r="B555" s="351" t="n">
        <v>43638</v>
      </c>
      <c r="C555" s="348" t="n">
        <f aca="false">YEAR('LT records'!$B555)</f>
        <v>2019</v>
      </c>
      <c r="D555" s="346" t="str">
        <f aca="false">'LT records'!$C555&amp;"-"&amp;MONTH('LT records'!$B555)</f>
        <v>2019-6</v>
      </c>
      <c r="E555" s="324" t="s">
        <v>14</v>
      </c>
      <c r="F555" s="324" t="str">
        <f aca="false">LEFT('LT records'!$E555,3)</f>
        <v>CSH</v>
      </c>
      <c r="G555" s="354" t="str">
        <f aca="false">IF(OR('LT records'!$F555="MyF", 'LT records'!$F555="DEP"),"DEP",IF('LT records'!$F555="CSH","CSH",IF('LT records'!$F555="BON","BND",IF('LT records'!$F555="Sma","MKT",IF(OR('LT records'!$F555="Val", 'LT records'!$F555="EUR"),"FCY",IF('LT records'!$F555="X-P","PP3",IF('LT records'!$F555="X-m","XAU","???")))))))</f>
        <v>CSH</v>
      </c>
      <c r="H555" s="325" t="n">
        <v>11955</v>
      </c>
      <c r="I555" s="340"/>
      <c r="J555" s="340"/>
      <c r="K555" s="340"/>
      <c r="L555" s="341" t="s">
        <v>588</v>
      </c>
      <c r="M555" s="350" t="str">
        <f aca="false">YEAR('LT records'!$B555)&amp;"-"&amp;MONTH('LT records'!$B555)</f>
        <v>2019-6</v>
      </c>
      <c r="N555" s="343" t="n">
        <f aca="false">'LT records'!$H555+'LT records'!$I555</f>
        <v>11955</v>
      </c>
      <c r="O555" s="326"/>
      <c r="P555" s="324"/>
      <c r="R555" s="327"/>
    </row>
    <row r="556" customFormat="false" ht="12.8" hidden="false" customHeight="false" outlineLevel="0" collapsed="false">
      <c r="B556" s="351" t="n">
        <v>43640</v>
      </c>
      <c r="C556" s="348" t="n">
        <f aca="false">YEAR('LT records'!$B556)</f>
        <v>2019</v>
      </c>
      <c r="D556" s="346" t="str">
        <f aca="false">'LT records'!$C556&amp;"-"&amp;MONTH('LT records'!$B556)</f>
        <v>2019-6</v>
      </c>
      <c r="E556" s="324" t="s">
        <v>318</v>
      </c>
      <c r="F556" s="324" t="str">
        <f aca="false">LEFT('LT records'!$E556,3)</f>
        <v>X-P</v>
      </c>
      <c r="G556" s="354" t="str">
        <f aca="false">IF(OR('LT records'!$F556="MyF", 'LT records'!$F556="DEP"),"DEP",IF('LT records'!$F556="CSH","CSH",IF('LT records'!$F556="BON","BND",IF('LT records'!$F556="Sma","MKT",IF(OR('LT records'!$F556="Val", 'LT records'!$F556="EUR"),"FCY",IF('LT records'!$F556="X-P","PP3",IF('LT records'!$F556="X-m","XAU","???")))))))</f>
        <v>PP3</v>
      </c>
      <c r="H556" s="325" t="n">
        <v>150</v>
      </c>
      <c r="I556" s="340"/>
      <c r="J556" s="340"/>
      <c r="K556" s="340"/>
      <c r="L556" s="353" t="s">
        <v>527</v>
      </c>
      <c r="M556" s="350" t="str">
        <f aca="false">YEAR('LT records'!$B556)&amp;"-"&amp;MONTH('LT records'!$B556)</f>
        <v>2019-6</v>
      </c>
      <c r="N556" s="343" t="n">
        <f aca="false">'LT records'!$H556+'LT records'!$I556</f>
        <v>150</v>
      </c>
      <c r="O556" s="326"/>
      <c r="P556" s="324"/>
      <c r="R556" s="327"/>
    </row>
    <row r="557" customFormat="false" ht="12.8" hidden="false" customHeight="false" outlineLevel="0" collapsed="false">
      <c r="B557" s="351" t="n">
        <v>43640</v>
      </c>
      <c r="C557" s="348" t="n">
        <f aca="false">YEAR('LT records'!$B557)</f>
        <v>2019</v>
      </c>
      <c r="D557" s="346" t="str">
        <f aca="false">'LT records'!$C557&amp;"-"&amp;MONTH('LT records'!$B557)</f>
        <v>2019-6</v>
      </c>
      <c r="E557" s="324" t="s">
        <v>14</v>
      </c>
      <c r="F557" s="324" t="str">
        <f aca="false">LEFT('LT records'!$E557,3)</f>
        <v>CSH</v>
      </c>
      <c r="G557" s="354" t="str">
        <f aca="false">IF(OR('LT records'!$F557="MyF", 'LT records'!$F557="DEP"),"DEP",IF('LT records'!$F557="CSH","CSH",IF('LT records'!$F557="BON","BND",IF('LT records'!$F557="Sma","MKT",IF(OR('LT records'!$F557="Val", 'LT records'!$F557="EUR"),"FCY",IF('LT records'!$F557="X-P","PP3",IF('LT records'!$F557="X-m","XAU","???")))))))</f>
        <v>CSH</v>
      </c>
      <c r="H557" s="325" t="n">
        <v>-5003</v>
      </c>
      <c r="I557" s="340"/>
      <c r="J557" s="340"/>
      <c r="K557" s="340"/>
      <c r="L557" s="341" t="s">
        <v>589</v>
      </c>
      <c r="M557" s="350" t="str">
        <f aca="false">YEAR('LT records'!$B557)&amp;"-"&amp;MONTH('LT records'!$B557)</f>
        <v>2019-6</v>
      </c>
      <c r="N557" s="343" t="n">
        <f aca="false">'LT records'!$H557+'LT records'!$I557</f>
        <v>-5003</v>
      </c>
      <c r="O557" s="326"/>
      <c r="P557" s="324"/>
      <c r="R557" s="327"/>
    </row>
    <row r="558" customFormat="false" ht="12.8" hidden="false" customHeight="false" outlineLevel="0" collapsed="false">
      <c r="B558" s="351" t="n">
        <v>43641</v>
      </c>
      <c r="C558" s="348" t="n">
        <f aca="false">YEAR('LT records'!$B558)</f>
        <v>2019</v>
      </c>
      <c r="D558" s="346" t="str">
        <f aca="false">'LT records'!$C558&amp;"-"&amp;MONTH('LT records'!$B558)</f>
        <v>2019-6</v>
      </c>
      <c r="E558" s="324" t="s">
        <v>423</v>
      </c>
      <c r="F558" s="324" t="str">
        <f aca="false">LEFT('LT records'!$E558,3)</f>
        <v>Sma</v>
      </c>
      <c r="G558" s="354" t="str">
        <f aca="false">IF(OR('LT records'!$F558="MyF", 'LT records'!$F558="DEP"),"DEP",IF('LT records'!$F558="CSH","CSH",IF('LT records'!$F558="BON","BND",IF('LT records'!$F558="Sma","MKT",IF(OR('LT records'!$F558="Val", 'LT records'!$F558="EUR"),"FCY",IF('LT records'!$F558="X-P","PP3",IF('LT records'!$F558="X-m","XAU","???")))))))</f>
        <v>MKT</v>
      </c>
      <c r="H558" s="325" t="n">
        <v>1100</v>
      </c>
      <c r="I558" s="340"/>
      <c r="J558" s="340"/>
      <c r="K558" s="340"/>
      <c r="L558" s="341" t="s">
        <v>460</v>
      </c>
      <c r="M558" s="350" t="str">
        <f aca="false">YEAR('LT records'!$B558)&amp;"-"&amp;MONTH('LT records'!$B558)</f>
        <v>2019-6</v>
      </c>
      <c r="N558" s="343" t="n">
        <f aca="false">'LT records'!$H558+'LT records'!$I558</f>
        <v>1100</v>
      </c>
      <c r="O558" s="326"/>
      <c r="P558" s="324"/>
      <c r="R558" s="327"/>
    </row>
    <row r="559" customFormat="false" ht="12.8" hidden="false" customHeight="false" outlineLevel="0" collapsed="false">
      <c r="B559" s="351" t="n">
        <v>43641</v>
      </c>
      <c r="C559" s="348" t="n">
        <f aca="false">YEAR('LT records'!$B559)</f>
        <v>2019</v>
      </c>
      <c r="D559" s="346" t="str">
        <f aca="false">'LT records'!$C559&amp;"-"&amp;MONTH('LT records'!$B559)</f>
        <v>2019-6</v>
      </c>
      <c r="E559" s="324" t="s">
        <v>318</v>
      </c>
      <c r="F559" s="324" t="str">
        <f aca="false">LEFT('LT records'!$E559,3)</f>
        <v>X-P</v>
      </c>
      <c r="G559" s="354" t="str">
        <f aca="false">IF(OR('LT records'!$F559="MyF", 'LT records'!$F559="DEP"),"DEP",IF('LT records'!$F559="CSH","CSH",IF('LT records'!$F559="BON","BND",IF('LT records'!$F559="Sma","MKT",IF(OR('LT records'!$F559="Val", 'LT records'!$F559="EUR"),"FCY",IF('LT records'!$F559="X-P","PP3",IF('LT records'!$F559="X-m","XAU","???")))))))</f>
        <v>PP3</v>
      </c>
      <c r="H559" s="325" t="n">
        <v>200</v>
      </c>
      <c r="I559" s="340"/>
      <c r="J559" s="340"/>
      <c r="K559" s="340"/>
      <c r="L559" s="341" t="s">
        <v>558</v>
      </c>
      <c r="M559" s="350" t="str">
        <f aca="false">YEAR('LT records'!$B559)&amp;"-"&amp;MONTH('LT records'!$B559)</f>
        <v>2019-6</v>
      </c>
      <c r="N559" s="343" t="n">
        <f aca="false">'LT records'!$H559+'LT records'!$I559</f>
        <v>200</v>
      </c>
      <c r="O559" s="326"/>
      <c r="P559" s="324"/>
      <c r="R559" s="327"/>
    </row>
    <row r="560" customFormat="false" ht="12.8" hidden="false" customHeight="false" outlineLevel="0" collapsed="false">
      <c r="B560" s="351" t="n">
        <v>43642</v>
      </c>
      <c r="C560" s="348" t="n">
        <f aca="false">YEAR('LT records'!$B560)</f>
        <v>2019</v>
      </c>
      <c r="D560" s="346" t="str">
        <f aca="false">'LT records'!$C560&amp;"-"&amp;MONTH('LT records'!$B560)</f>
        <v>2019-6</v>
      </c>
      <c r="E560" s="324" t="s">
        <v>444</v>
      </c>
      <c r="F560" s="324" t="str">
        <f aca="false">LEFT('LT records'!$E560,3)</f>
        <v>Val</v>
      </c>
      <c r="G560" s="354" t="str">
        <f aca="false">IF(OR('LT records'!$F560="MyF", 'LT records'!$F560="DEP"),"DEP",IF('LT records'!$F560="CSH","CSH",IF('LT records'!$F560="BON","BND",IF('LT records'!$F560="Sma","MKT",IF(OR('LT records'!$F560="Val", 'LT records'!$F560="EUR"),"FCY",IF('LT records'!$F560="X-P","PP3",IF('LT records'!$F560="X-m","XAU","???")))))))</f>
        <v>FCY</v>
      </c>
      <c r="H560" s="325" t="n">
        <v>240</v>
      </c>
      <c r="I560" s="340"/>
      <c r="J560" s="340" t="n">
        <v>50</v>
      </c>
      <c r="K560" s="340"/>
      <c r="L560" s="341" t="s">
        <v>590</v>
      </c>
      <c r="M560" s="350" t="str">
        <f aca="false">YEAR('LT records'!$B560)&amp;"-"&amp;MONTH('LT records'!$B560)</f>
        <v>2019-6</v>
      </c>
      <c r="N560" s="343" t="n">
        <f aca="false">'LT records'!$H560+'LT records'!$I560</f>
        <v>240</v>
      </c>
      <c r="O560" s="326"/>
      <c r="P560" s="324"/>
      <c r="R560" s="327"/>
    </row>
    <row r="561" customFormat="false" ht="12.8" hidden="false" customHeight="false" outlineLevel="0" collapsed="false">
      <c r="B561" s="351" t="n">
        <v>43643</v>
      </c>
      <c r="C561" s="348" t="n">
        <f aca="false">YEAR('LT records'!$B561)</f>
        <v>2019</v>
      </c>
      <c r="D561" s="346" t="str">
        <f aca="false">'LT records'!$C561&amp;"-"&amp;MONTH('LT records'!$B561)</f>
        <v>2019-6</v>
      </c>
      <c r="E561" s="324" t="s">
        <v>14</v>
      </c>
      <c r="F561" s="324" t="str">
        <f aca="false">LEFT('LT records'!$E561,3)</f>
        <v>CSH</v>
      </c>
      <c r="G561" s="354" t="str">
        <f aca="false">IF(OR('LT records'!$F561="MyF", 'LT records'!$F561="DEP"),"DEP",IF('LT records'!$F561="CSH","CSH",IF('LT records'!$F561="BON","BND",IF('LT records'!$F561="Sma","MKT",IF(OR('LT records'!$F561="Val", 'LT records'!$F561="EUR"),"FCY",IF('LT records'!$F561="X-P","PP3",IF('LT records'!$F561="X-m","XAU","???")))))))</f>
        <v>CSH</v>
      </c>
      <c r="H561" s="325" t="n">
        <v>-60</v>
      </c>
      <c r="I561" s="340"/>
      <c r="J561" s="340"/>
      <c r="K561" s="340"/>
      <c r="L561" s="341" t="s">
        <v>591</v>
      </c>
      <c r="M561" s="350" t="str">
        <f aca="false">YEAR('LT records'!$B561)&amp;"-"&amp;MONTH('LT records'!$B561)</f>
        <v>2019-6</v>
      </c>
      <c r="N561" s="343" t="n">
        <f aca="false">'LT records'!$H561+'LT records'!$I561</f>
        <v>-60</v>
      </c>
      <c r="O561" s="326"/>
      <c r="P561" s="324"/>
      <c r="R561" s="327"/>
    </row>
    <row r="562" customFormat="false" ht="12.8" hidden="false" customHeight="false" outlineLevel="0" collapsed="false">
      <c r="B562" s="351" t="n">
        <v>43644</v>
      </c>
      <c r="C562" s="348" t="n">
        <f aca="false">YEAR('LT records'!$B562)</f>
        <v>2019</v>
      </c>
      <c r="D562" s="346" t="str">
        <f aca="false">'LT records'!$C562&amp;"-"&amp;MONTH('LT records'!$B562)</f>
        <v>2019-6</v>
      </c>
      <c r="E562" s="324" t="s">
        <v>14</v>
      </c>
      <c r="F562" s="324" t="str">
        <f aca="false">LEFT('LT records'!$E562,3)</f>
        <v>CSH</v>
      </c>
      <c r="G562" s="354" t="str">
        <f aca="false">IF(OR('LT records'!$F562="MyF", 'LT records'!$F562="DEP"),"DEP",IF('LT records'!$F562="CSH","CSH",IF('LT records'!$F562="BON","BND",IF('LT records'!$F562="Sma","MKT",IF(OR('LT records'!$F562="Val", 'LT records'!$F562="EUR"),"FCY",IF('LT records'!$F562="X-P","PP3",IF('LT records'!$F562="X-m","XAU","???")))))))</f>
        <v>CSH</v>
      </c>
      <c r="H562" s="325" t="n">
        <v>50</v>
      </c>
      <c r="I562" s="340" t="n">
        <v>7.24</v>
      </c>
      <c r="J562" s="340"/>
      <c r="K562" s="340"/>
      <c r="L562" s="341" t="s">
        <v>568</v>
      </c>
      <c r="M562" s="350" t="str">
        <f aca="false">YEAR('LT records'!$B562)&amp;"-"&amp;MONTH('LT records'!$B562)</f>
        <v>2019-6</v>
      </c>
      <c r="N562" s="343" t="n">
        <f aca="false">'LT records'!$H562+'LT records'!$I562</f>
        <v>57.24</v>
      </c>
      <c r="O562" s="326"/>
      <c r="P562" s="324"/>
      <c r="R562" s="327"/>
    </row>
    <row r="563" customFormat="false" ht="12.8" hidden="false" customHeight="false" outlineLevel="0" collapsed="false">
      <c r="B563" s="351" t="n">
        <v>43649</v>
      </c>
      <c r="C563" s="348" t="n">
        <f aca="false">YEAR('LT records'!$B563)</f>
        <v>2019</v>
      </c>
      <c r="D563" s="346" t="str">
        <f aca="false">'LT records'!$C563&amp;"-"&amp;MONTH('LT records'!$B563)</f>
        <v>2019-7</v>
      </c>
      <c r="E563" s="324" t="s">
        <v>14</v>
      </c>
      <c r="F563" s="324" t="str">
        <f aca="false">LEFT('LT records'!$E563,3)</f>
        <v>CSH</v>
      </c>
      <c r="G563" s="354" t="str">
        <f aca="false">IF(OR('LT records'!$F563="MyF", 'LT records'!$F563="DEP"),"DEP",IF('LT records'!$F563="CSH","CSH",IF('LT records'!$F563="BON","BND",IF('LT records'!$F563="Sma","MKT",IF(OR('LT records'!$F563="Val", 'LT records'!$F563="EUR"),"FCY",IF('LT records'!$F563="X-P","PP3",IF('LT records'!$F563="X-m","XAU","???")))))))</f>
        <v>CSH</v>
      </c>
      <c r="H563" s="325" t="n">
        <v>-804.5</v>
      </c>
      <c r="I563" s="340"/>
      <c r="J563" s="340"/>
      <c r="K563" s="340"/>
      <c r="L563" s="341" t="s">
        <v>592</v>
      </c>
      <c r="M563" s="350" t="str">
        <f aca="false">YEAR('LT records'!$B563)&amp;"-"&amp;MONTH('LT records'!$B563)</f>
        <v>2019-7</v>
      </c>
      <c r="N563" s="343" t="n">
        <f aca="false">'LT records'!$H563+'LT records'!$I563</f>
        <v>-804.5</v>
      </c>
      <c r="O563" s="326"/>
      <c r="P563" s="324"/>
      <c r="R563" s="327"/>
    </row>
    <row r="564" customFormat="false" ht="12.8" hidden="false" customHeight="false" outlineLevel="0" collapsed="false">
      <c r="B564" s="351" t="n">
        <v>43649</v>
      </c>
      <c r="C564" s="348" t="n">
        <f aca="false">YEAR('LT records'!$B564)</f>
        <v>2019</v>
      </c>
      <c r="D564" s="346" t="str">
        <f aca="false">'LT records'!$C564&amp;"-"&amp;MONTH('LT records'!$B564)</f>
        <v>2019-7</v>
      </c>
      <c r="E564" s="324" t="s">
        <v>301</v>
      </c>
      <c r="F564" s="324" t="str">
        <f aca="false">LEFT('LT records'!$E564,3)</f>
        <v>DEP</v>
      </c>
      <c r="G564" s="354" t="str">
        <f aca="false">IF(OR('LT records'!$F564="MyF", 'LT records'!$F564="DEP"),"DEP",IF('LT records'!$F564="CSH","CSH",IF('LT records'!$F564="BON","BND",IF('LT records'!$F564="Sma","MKT",IF(OR('LT records'!$F564="Val", 'LT records'!$F564="EUR"),"FCY",IF('LT records'!$F564="X-P","PP3",IF('LT records'!$F564="X-m","XAU","???")))))))</f>
        <v>DEP</v>
      </c>
      <c r="H564" s="325" t="n">
        <v>806.5</v>
      </c>
      <c r="I564" s="340" t="n">
        <v>193.5</v>
      </c>
      <c r="J564" s="340"/>
      <c r="K564" s="340"/>
      <c r="L564" s="341" t="s">
        <v>562</v>
      </c>
      <c r="M564" s="350" t="str">
        <f aca="false">YEAR('LT records'!$B564)&amp;"-"&amp;MONTH('LT records'!$B564)</f>
        <v>2019-7</v>
      </c>
      <c r="N564" s="343" t="n">
        <f aca="false">'LT records'!$H564+'LT records'!$I564</f>
        <v>1000</v>
      </c>
      <c r="O564" s="326"/>
      <c r="P564" s="324"/>
      <c r="R564" s="327"/>
    </row>
    <row r="565" customFormat="false" ht="12.8" hidden="false" customHeight="false" outlineLevel="0" collapsed="false">
      <c r="B565" s="351" t="n">
        <v>43649</v>
      </c>
      <c r="C565" s="348" t="n">
        <f aca="false">YEAR('LT records'!$B565)</f>
        <v>2019</v>
      </c>
      <c r="D565" s="346" t="str">
        <f aca="false">'LT records'!$C565&amp;"-"&amp;MONTH('LT records'!$B565)</f>
        <v>2019-7</v>
      </c>
      <c r="E565" s="324" t="s">
        <v>444</v>
      </c>
      <c r="F565" s="324" t="str">
        <f aca="false">LEFT('LT records'!$E565,3)</f>
        <v>Val</v>
      </c>
      <c r="G565" s="354" t="str">
        <f aca="false">IF(OR('LT records'!$F565="MyF", 'LT records'!$F565="DEP"),"DEP",IF('LT records'!$F565="CSH","CSH",IF('LT records'!$F565="BON","BND",IF('LT records'!$F565="Sma","MKT",IF(OR('LT records'!$F565="Val", 'LT records'!$F565="EUR"),"FCY",IF('LT records'!$F565="X-P","PP3",IF('LT records'!$F565="X-m","XAU","???")))))))</f>
        <v>FCY</v>
      </c>
      <c r="H565" s="325" t="n">
        <v>0</v>
      </c>
      <c r="I565" s="340"/>
      <c r="J565" s="340" t="n">
        <v>-6.4</v>
      </c>
      <c r="K565" s="340"/>
      <c r="L565" s="341" t="s">
        <v>592</v>
      </c>
      <c r="M565" s="350" t="str">
        <f aca="false">YEAR('LT records'!$B565)&amp;"-"&amp;MONTH('LT records'!$B565)</f>
        <v>2019-7</v>
      </c>
      <c r="N565" s="343" t="n">
        <f aca="false">'LT records'!$H565+'LT records'!$I565</f>
        <v>0</v>
      </c>
      <c r="O565" s="326"/>
      <c r="P565" s="324"/>
      <c r="R565" s="327"/>
    </row>
    <row r="566" customFormat="false" ht="12.8" hidden="false" customHeight="false" outlineLevel="0" collapsed="false">
      <c r="B566" s="351" t="n">
        <v>43649</v>
      </c>
      <c r="C566" s="348" t="n">
        <f aca="false">YEAR('LT records'!$B566)</f>
        <v>2019</v>
      </c>
      <c r="D566" s="346" t="str">
        <f aca="false">'LT records'!$C566&amp;"-"&amp;MONTH('LT records'!$B566)</f>
        <v>2019-7</v>
      </c>
      <c r="E566" s="324" t="s">
        <v>498</v>
      </c>
      <c r="F566" s="324" t="str">
        <f aca="false">LEFT('LT records'!$E566,3)</f>
        <v>EUR</v>
      </c>
      <c r="G566" s="354" t="str">
        <f aca="false">IF(OR('LT records'!$F566="MyF", 'LT records'!$F566="DEP"),"DEP",IF('LT records'!$F566="CSH","CSH",IF('LT records'!$F566="BON","BND",IF('LT records'!$F566="Sma","MKT",IF(OR('LT records'!$F566="Val", 'LT records'!$F566="EUR"),"FCY",IF('LT records'!$F566="X-P","PP3",IF('LT records'!$F566="X-m","XAU","???")))))))</f>
        <v>FCY</v>
      </c>
      <c r="H566" s="325" t="n">
        <v>0</v>
      </c>
      <c r="I566" s="340"/>
      <c r="J566" s="340" t="n">
        <v>6.4</v>
      </c>
      <c r="K566" s="340" t="n">
        <v>3.6</v>
      </c>
      <c r="L566" s="341" t="s">
        <v>562</v>
      </c>
      <c r="M566" s="350" t="str">
        <f aca="false">YEAR('LT records'!$B566)&amp;"-"&amp;MONTH('LT records'!$B566)</f>
        <v>2019-7</v>
      </c>
      <c r="N566" s="343" t="n">
        <f aca="false">'LT records'!$H566+'LT records'!$I566</f>
        <v>0</v>
      </c>
      <c r="O566" s="326"/>
      <c r="P566" s="324"/>
      <c r="R566" s="327"/>
    </row>
    <row r="567" customFormat="false" ht="12.8" hidden="false" customHeight="false" outlineLevel="0" collapsed="false">
      <c r="B567" s="351" t="n">
        <v>43665</v>
      </c>
      <c r="C567" s="348" t="n">
        <f aca="false">YEAR('LT records'!$B567)</f>
        <v>2019</v>
      </c>
      <c r="D567" s="346" t="str">
        <f aca="false">'LT records'!$C567&amp;"-"&amp;MONTH('LT records'!$B567)</f>
        <v>2019-7</v>
      </c>
      <c r="E567" s="324" t="s">
        <v>14</v>
      </c>
      <c r="F567" s="324" t="str">
        <f aca="false">LEFT('LT records'!$E567,3)</f>
        <v>CSH</v>
      </c>
      <c r="G567" s="354" t="str">
        <f aca="false">IF(OR('LT records'!$F567="MyF", 'LT records'!$F567="DEP"),"DEP",IF('LT records'!$F567="CSH","CSH",IF('LT records'!$F567="BON","BND",IF('LT records'!$F567="Sma","MKT",IF(OR('LT records'!$F567="Val", 'LT records'!$F567="EUR"),"FCY",IF('LT records'!$F567="X-P","PP3",IF('LT records'!$F567="X-m","XAU","???")))))))</f>
        <v>CSH</v>
      </c>
      <c r="H567" s="325" t="n">
        <f aca="false">12762-117-7264</f>
        <v>5381</v>
      </c>
      <c r="I567" s="340"/>
      <c r="J567" s="340"/>
      <c r="K567" s="340"/>
      <c r="L567" s="341" t="s">
        <v>593</v>
      </c>
      <c r="M567" s="350" t="str">
        <f aca="false">YEAR('LT records'!$B567)&amp;"-"&amp;MONTH('LT records'!$B567)</f>
        <v>2019-7</v>
      </c>
      <c r="N567" s="343" t="n">
        <f aca="false">'LT records'!$H567+'LT records'!$I567</f>
        <v>5381</v>
      </c>
      <c r="O567" s="326"/>
      <c r="P567" s="324"/>
      <c r="R567" s="327"/>
    </row>
    <row r="568" customFormat="false" ht="12.8" hidden="false" customHeight="false" outlineLevel="0" collapsed="false">
      <c r="B568" s="351" t="n">
        <v>43648</v>
      </c>
      <c r="C568" s="348" t="n">
        <f aca="false">YEAR('LT records'!$B568)</f>
        <v>2019</v>
      </c>
      <c r="D568" s="346" t="str">
        <f aca="false">'LT records'!$C568&amp;"-"&amp;MONTH('LT records'!$B568)</f>
        <v>2019-7</v>
      </c>
      <c r="E568" s="324" t="s">
        <v>444</v>
      </c>
      <c r="F568" s="324" t="str">
        <f aca="false">LEFT('LT records'!$E568,3)</f>
        <v>Val</v>
      </c>
      <c r="G568" s="354" t="str">
        <f aca="false">IF(OR('LT records'!$F568="MyF", 'LT records'!$F568="DEP"),"DEP",IF('LT records'!$F568="CSH","CSH",IF('LT records'!$F568="BON","BND",IF('LT records'!$F568="Sma","MKT",IF(OR('LT records'!$F568="Val", 'LT records'!$F568="EUR"),"FCY",IF('LT records'!$F568="X-P","PP3",IF('LT records'!$F568="X-m","XAU","???")))))))</f>
        <v>FCY</v>
      </c>
      <c r="H568" s="325" t="n">
        <v>475</v>
      </c>
      <c r="I568" s="340"/>
      <c r="J568" s="340" t="n">
        <v>100</v>
      </c>
      <c r="K568" s="340"/>
      <c r="L568" s="341" t="s">
        <v>594</v>
      </c>
      <c r="M568" s="350" t="str">
        <f aca="false">YEAR('LT records'!$B568)&amp;"-"&amp;MONTH('LT records'!$B568)</f>
        <v>2019-7</v>
      </c>
      <c r="N568" s="343" t="n">
        <f aca="false">'LT records'!$H568+'LT records'!$I568</f>
        <v>475</v>
      </c>
      <c r="O568" s="326"/>
      <c r="P568" s="324"/>
      <c r="R568" s="327"/>
    </row>
    <row r="569" customFormat="false" ht="12.8" hidden="false" customHeight="false" outlineLevel="0" collapsed="false">
      <c r="B569" s="351" t="n">
        <v>43671</v>
      </c>
      <c r="C569" s="348" t="n">
        <f aca="false">YEAR('LT records'!$B569)</f>
        <v>2019</v>
      </c>
      <c r="D569" s="346" t="str">
        <f aca="false">'LT records'!$C569&amp;"-"&amp;MONTH('LT records'!$B569)</f>
        <v>2019-7</v>
      </c>
      <c r="E569" s="324" t="s">
        <v>423</v>
      </c>
      <c r="F569" s="324" t="str">
        <f aca="false">LEFT('LT records'!$E569,3)</f>
        <v>Sma</v>
      </c>
      <c r="G569" s="354" t="str">
        <f aca="false">IF(OR('LT records'!$F569="MyF", 'LT records'!$F569="DEP"),"DEP",IF('LT records'!$F569="CSH","CSH",IF('LT records'!$F569="BON","BND",IF('LT records'!$F569="Sma","MKT",IF(OR('LT records'!$F569="Val", 'LT records'!$F569="EUR"),"FCY",IF('LT records'!$F569="X-P","PP3",IF('LT records'!$F569="X-m","XAU","???")))))))</f>
        <v>MKT</v>
      </c>
      <c r="H569" s="325" t="n">
        <v>1100</v>
      </c>
      <c r="I569" s="340"/>
      <c r="J569" s="340"/>
      <c r="K569" s="340"/>
      <c r="L569" s="341" t="s">
        <v>460</v>
      </c>
      <c r="M569" s="350" t="str">
        <f aca="false">YEAR('LT records'!$B569)&amp;"-"&amp;MONTH('LT records'!$B569)</f>
        <v>2019-7</v>
      </c>
      <c r="N569" s="343" t="n">
        <f aca="false">'LT records'!$H569+'LT records'!$I569</f>
        <v>1100</v>
      </c>
      <c r="O569" s="326"/>
      <c r="P569" s="324"/>
      <c r="R569" s="327"/>
    </row>
    <row r="570" customFormat="false" ht="12.8" hidden="false" customHeight="false" outlineLevel="0" collapsed="false">
      <c r="B570" s="351" t="n">
        <v>43671</v>
      </c>
      <c r="C570" s="348" t="n">
        <f aca="false">YEAR('LT records'!$B570)</f>
        <v>2019</v>
      </c>
      <c r="D570" s="346" t="str">
        <f aca="false">'LT records'!$C570&amp;"-"&amp;MONTH('LT records'!$B570)</f>
        <v>2019-7</v>
      </c>
      <c r="E570" s="324" t="s">
        <v>318</v>
      </c>
      <c r="F570" s="324" t="str">
        <f aca="false">LEFT('LT records'!$E570,3)</f>
        <v>X-P</v>
      </c>
      <c r="G570" s="354" t="str">
        <f aca="false">IF(OR('LT records'!$F570="MyF", 'LT records'!$F570="DEP"),"DEP",IF('LT records'!$F570="CSH","CSH",IF('LT records'!$F570="BON","BND",IF('LT records'!$F570="Sma","MKT",IF(OR('LT records'!$F570="Val", 'LT records'!$F570="EUR"),"FCY",IF('LT records'!$F570="X-P","PP3",IF('LT records'!$F570="X-m","XAU","???")))))))</f>
        <v>PP3</v>
      </c>
      <c r="H570" s="325" t="n">
        <v>400</v>
      </c>
      <c r="I570" s="340"/>
      <c r="J570" s="340"/>
      <c r="K570" s="340"/>
      <c r="L570" s="341" t="s">
        <v>595</v>
      </c>
      <c r="M570" s="350" t="str">
        <f aca="false">YEAR('LT records'!$B570)&amp;"-"&amp;MONTH('LT records'!$B570)</f>
        <v>2019-7</v>
      </c>
      <c r="N570" s="343" t="n">
        <f aca="false">'LT records'!$H570+'LT records'!$I570</f>
        <v>400</v>
      </c>
      <c r="O570" s="326"/>
      <c r="P570" s="324"/>
      <c r="R570" s="327"/>
    </row>
    <row r="571" customFormat="false" ht="12.8" hidden="false" customHeight="false" outlineLevel="0" collapsed="false">
      <c r="B571" s="351" t="n">
        <v>43674</v>
      </c>
      <c r="C571" s="348" t="n">
        <f aca="false">YEAR('LT records'!$B571)</f>
        <v>2019</v>
      </c>
      <c r="D571" s="346" t="str">
        <f aca="false">'LT records'!$C571&amp;"-"&amp;MONTH('LT records'!$B571)</f>
        <v>2019-7</v>
      </c>
      <c r="E571" s="324" t="s">
        <v>14</v>
      </c>
      <c r="F571" s="324" t="str">
        <f aca="false">LEFT('LT records'!$E571,3)</f>
        <v>CSH</v>
      </c>
      <c r="G571" s="354" t="str">
        <f aca="false">IF(OR('LT records'!$F571="MyF", 'LT records'!$F571="DEP"),"DEP",IF('LT records'!$F571="CSH","CSH",IF('LT records'!$F571="BON","BND",IF('LT records'!$F571="Sma","MKT",IF(OR('LT records'!$F571="Val", 'LT records'!$F571="EUR"),"FCY",IF('LT records'!$F571="X-P","PP3",IF('LT records'!$F571="X-m","XAU","???")))))))</f>
        <v>CSH</v>
      </c>
      <c r="H571" s="325" t="n">
        <v>50</v>
      </c>
      <c r="I571" s="340" t="n">
        <v>9.1</v>
      </c>
      <c r="J571" s="340"/>
      <c r="K571" s="340"/>
      <c r="L571" s="341" t="s">
        <v>464</v>
      </c>
      <c r="M571" s="350" t="str">
        <f aca="false">YEAR('LT records'!$B571)&amp;"-"&amp;MONTH('LT records'!$B571)</f>
        <v>2019-7</v>
      </c>
      <c r="N571" s="343" t="n">
        <f aca="false">'LT records'!$H571+'LT records'!$I571</f>
        <v>59.1</v>
      </c>
      <c r="O571" s="326"/>
      <c r="P571" s="324"/>
      <c r="R571" s="327"/>
    </row>
    <row r="572" customFormat="false" ht="12.8" hidden="false" customHeight="false" outlineLevel="0" collapsed="false">
      <c r="B572" s="351" t="n">
        <v>43679</v>
      </c>
      <c r="C572" s="348" t="n">
        <f aca="false">YEAR('LT records'!$B572)</f>
        <v>2019</v>
      </c>
      <c r="D572" s="346" t="str">
        <f aca="false">'LT records'!$C572&amp;"-"&amp;MONTH('LT records'!$B572)</f>
        <v>2019-8</v>
      </c>
      <c r="E572" s="324" t="s">
        <v>14</v>
      </c>
      <c r="F572" s="324" t="str">
        <f aca="false">LEFT('LT records'!$E572,3)</f>
        <v>CSH</v>
      </c>
      <c r="G572" s="354" t="str">
        <f aca="false">IF(OR('LT records'!$F572="MyF", 'LT records'!$F572="DEP"),"DEP",IF('LT records'!$F572="CSH","CSH",IF('LT records'!$F572="BON","BND",IF('LT records'!$F572="Sma","MKT",IF(OR('LT records'!$F572="Val", 'LT records'!$F572="EUR"),"FCY",IF('LT records'!$F572="X-P","PP3",IF('LT records'!$F572="X-m","XAU","???")))))))</f>
        <v>CSH</v>
      </c>
      <c r="H572" s="325" t="n">
        <v>-1806.5</v>
      </c>
      <c r="I572" s="340"/>
      <c r="J572" s="340"/>
      <c r="K572" s="340"/>
      <c r="L572" s="341" t="s">
        <v>596</v>
      </c>
      <c r="M572" s="350" t="str">
        <f aca="false">YEAR('LT records'!$B572)&amp;"-"&amp;MONTH('LT records'!$B572)</f>
        <v>2019-8</v>
      </c>
      <c r="N572" s="343" t="n">
        <f aca="false">'LT records'!$H572+'LT records'!$I572</f>
        <v>-1806.5</v>
      </c>
      <c r="O572" s="326"/>
      <c r="P572" s="324"/>
      <c r="R572" s="327"/>
    </row>
    <row r="573" customFormat="false" ht="12.8" hidden="false" customHeight="false" outlineLevel="0" collapsed="false">
      <c r="B573" s="351" t="n">
        <v>43679</v>
      </c>
      <c r="C573" s="348" t="n">
        <f aca="false">YEAR('LT records'!$B573)</f>
        <v>2019</v>
      </c>
      <c r="D573" s="346" t="str">
        <f aca="false">'LT records'!$C573&amp;"-"&amp;MONTH('LT records'!$B573)</f>
        <v>2019-8</v>
      </c>
      <c r="E573" s="324" t="s">
        <v>302</v>
      </c>
      <c r="F573" s="324" t="str">
        <f aca="false">LEFT('LT records'!$E573,3)</f>
        <v>DEP</v>
      </c>
      <c r="G573" s="354" t="str">
        <f aca="false">IF(OR('LT records'!$F573="MyF", 'LT records'!$F573="DEP"),"DEP",IF('LT records'!$F573="CSH","CSH",IF('LT records'!$F573="BON","BND",IF('LT records'!$F573="Sma","MKT",IF(OR('LT records'!$F573="Val", 'LT records'!$F573="EUR"),"FCY",IF('LT records'!$F573="X-P","PP3",IF('LT records'!$F573="X-m","XAU","???")))))))</f>
        <v>DEP</v>
      </c>
      <c r="H573" s="325" t="n">
        <v>1806.5</v>
      </c>
      <c r="I573" s="340" t="n">
        <v>193.5</v>
      </c>
      <c r="J573" s="340"/>
      <c r="K573" s="340"/>
      <c r="L573" s="341" t="s">
        <v>597</v>
      </c>
      <c r="M573" s="350" t="str">
        <f aca="false">YEAR('LT records'!$B573)&amp;"-"&amp;MONTH('LT records'!$B573)</f>
        <v>2019-8</v>
      </c>
      <c r="N573" s="343" t="n">
        <f aca="false">'LT records'!$H573+'LT records'!$I573</f>
        <v>2000</v>
      </c>
      <c r="O573" s="326"/>
      <c r="P573" s="324"/>
      <c r="R573" s="327"/>
    </row>
    <row r="574" customFormat="false" ht="12.8" hidden="false" customHeight="false" outlineLevel="0" collapsed="false">
      <c r="B574" s="351" t="n">
        <v>43679</v>
      </c>
      <c r="C574" s="348" t="n">
        <f aca="false">YEAR('LT records'!$B574)</f>
        <v>2019</v>
      </c>
      <c r="D574" s="346" t="str">
        <f aca="false">'LT records'!$C574&amp;"-"&amp;MONTH('LT records'!$B574)</f>
        <v>2019-8</v>
      </c>
      <c r="E574" s="324" t="s">
        <v>444</v>
      </c>
      <c r="F574" s="324" t="str">
        <f aca="false">LEFT('LT records'!$E574,3)</f>
        <v>Val</v>
      </c>
      <c r="G574" s="354" t="str">
        <f aca="false">IF(OR('LT records'!$F574="MyF", 'LT records'!$F574="DEP"),"DEP",IF('LT records'!$F574="CSH","CSH",IF('LT records'!$F574="BON","BND",IF('LT records'!$F574="Sma","MKT",IF(OR('LT records'!$F574="Val", 'LT records'!$F574="EUR"),"FCY",IF('LT records'!$F574="X-P","PP3",IF('LT records'!$F574="X-m","XAU","???")))))))</f>
        <v>FCY</v>
      </c>
      <c r="H574" s="325" t="n">
        <v>0</v>
      </c>
      <c r="I574" s="340"/>
      <c r="J574" s="340" t="n">
        <v>-6.4</v>
      </c>
      <c r="K574" s="340"/>
      <c r="L574" s="341" t="s">
        <v>598</v>
      </c>
      <c r="M574" s="350" t="str">
        <f aca="false">YEAR('LT records'!$B574)&amp;"-"&amp;MONTH('LT records'!$B574)</f>
        <v>2019-8</v>
      </c>
      <c r="N574" s="343" t="n">
        <f aca="false">'LT records'!$H574+'LT records'!$I574</f>
        <v>0</v>
      </c>
      <c r="O574" s="326"/>
      <c r="P574" s="324"/>
      <c r="R574" s="327"/>
    </row>
    <row r="575" customFormat="false" ht="12.8" hidden="false" customHeight="false" outlineLevel="0" collapsed="false">
      <c r="B575" s="351" t="n">
        <v>43679</v>
      </c>
      <c r="C575" s="348" t="n">
        <f aca="false">YEAR('LT records'!$B575)</f>
        <v>2019</v>
      </c>
      <c r="D575" s="346" t="str">
        <f aca="false">'LT records'!$C575&amp;"-"&amp;MONTH('LT records'!$B575)</f>
        <v>2019-8</v>
      </c>
      <c r="E575" s="324" t="s">
        <v>510</v>
      </c>
      <c r="F575" s="324" t="str">
        <f aca="false">LEFT('LT records'!$E575,3)</f>
        <v>EUR</v>
      </c>
      <c r="G575" s="354" t="str">
        <f aca="false">IF(OR('LT records'!$F575="MyF", 'LT records'!$F575="DEP"),"DEP",IF('LT records'!$F575="CSH","CSH",IF('LT records'!$F575="BON","BND",IF('LT records'!$F575="Sma","MKT",IF(OR('LT records'!$F575="Val", 'LT records'!$F575="EUR"),"FCY",IF('LT records'!$F575="X-P","PP3",IF('LT records'!$F575="X-m","XAU","???")))))))</f>
        <v>FCY</v>
      </c>
      <c r="H575" s="325" t="n">
        <v>0</v>
      </c>
      <c r="I575" s="340"/>
      <c r="J575" s="340" t="n">
        <v>6.4</v>
      </c>
      <c r="K575" s="340" t="n">
        <v>3.6</v>
      </c>
      <c r="L575" s="341" t="s">
        <v>597</v>
      </c>
      <c r="M575" s="350" t="str">
        <f aca="false">YEAR('LT records'!$B575)&amp;"-"&amp;MONTH('LT records'!$B575)</f>
        <v>2019-8</v>
      </c>
      <c r="N575" s="343" t="n">
        <f aca="false">'LT records'!$H575+'LT records'!$I575</f>
        <v>0</v>
      </c>
      <c r="O575" s="326"/>
      <c r="P575" s="324"/>
      <c r="R575" s="327"/>
    </row>
    <row r="576" customFormat="false" ht="12.8" hidden="false" customHeight="false" outlineLevel="0" collapsed="false">
      <c r="B576" s="351" t="n">
        <v>43681</v>
      </c>
      <c r="C576" s="348" t="n">
        <f aca="false">YEAR('LT records'!$B576)</f>
        <v>2019</v>
      </c>
      <c r="D576" s="346" t="str">
        <f aca="false">'LT records'!$C576&amp;"-"&amp;MONTH('LT records'!$B576)</f>
        <v>2019-8</v>
      </c>
      <c r="E576" s="324" t="s">
        <v>14</v>
      </c>
      <c r="F576" s="324" t="str">
        <f aca="false">LEFT('LT records'!$E576,3)</f>
        <v>CSH</v>
      </c>
      <c r="G576" s="354" t="str">
        <f aca="false">IF(OR('LT records'!$F576="MyF", 'LT records'!$F576="DEP"),"DEP",IF('LT records'!$F576="CSH","CSH",IF('LT records'!$F576="BON","BND",IF('LT records'!$F576="Sma","MKT",IF(OR('LT records'!$F576="Val", 'LT records'!$F576="EUR"),"FCY",IF('LT records'!$F576="X-P","PP3",IF('LT records'!$F576="X-m","XAU","???")))))))</f>
        <v>CSH</v>
      </c>
      <c r="H576" s="325" t="n">
        <v>2</v>
      </c>
      <c r="I576" s="340"/>
      <c r="J576" s="340"/>
      <c r="K576" s="340"/>
      <c r="L576" s="341" t="s">
        <v>56</v>
      </c>
      <c r="M576" s="350" t="str">
        <f aca="false">YEAR('LT records'!$B576)&amp;"-"&amp;MONTH('LT records'!$B576)</f>
        <v>2019-8</v>
      </c>
      <c r="N576" s="343" t="n">
        <f aca="false">'LT records'!$H576+'LT records'!$I576</f>
        <v>2</v>
      </c>
      <c r="O576" s="326"/>
      <c r="P576" s="324"/>
      <c r="R576" s="327"/>
    </row>
    <row r="577" customFormat="false" ht="12.8" hidden="false" customHeight="false" outlineLevel="0" collapsed="false">
      <c r="B577" s="351" t="n">
        <v>43698</v>
      </c>
      <c r="C577" s="348" t="n">
        <f aca="false">YEAR('LT records'!$B577)</f>
        <v>2019</v>
      </c>
      <c r="D577" s="346" t="str">
        <f aca="false">'LT records'!$C577&amp;"-"&amp;MONTH('LT records'!$B577)</f>
        <v>2019-8</v>
      </c>
      <c r="E577" s="324" t="s">
        <v>14</v>
      </c>
      <c r="F577" s="324" t="str">
        <f aca="false">LEFT('LT records'!$E577,3)</f>
        <v>CSH</v>
      </c>
      <c r="G577" s="354" t="str">
        <f aca="false">IF(OR('LT records'!$F577="MyF", 'LT records'!$F577="DEP"),"DEP",IF('LT records'!$F577="CSH","CSH",IF('LT records'!$F577="BON","BND",IF('LT records'!$F577="Sma","MKT",IF(OR('LT records'!$F577="Val", 'LT records'!$F577="EUR"),"FCY",IF('LT records'!$F577="X-P","PP3",IF('LT records'!$F577="X-m","XAU","???")))))))</f>
        <v>CSH</v>
      </c>
      <c r="H577" s="325" t="n">
        <f aca="false">-7263+12437</f>
        <v>5174</v>
      </c>
      <c r="I577" s="340"/>
      <c r="J577" s="340"/>
      <c r="K577" s="340"/>
      <c r="L577" s="341" t="s">
        <v>599</v>
      </c>
      <c r="M577" s="350" t="str">
        <f aca="false">YEAR('LT records'!$B577)&amp;"-"&amp;MONTH('LT records'!$B577)</f>
        <v>2019-8</v>
      </c>
      <c r="N577" s="343" t="n">
        <f aca="false">'LT records'!$H577+'LT records'!$I577</f>
        <v>5174</v>
      </c>
      <c r="O577" s="326"/>
      <c r="P577" s="324"/>
      <c r="R577" s="327"/>
    </row>
    <row r="578" customFormat="false" ht="12.8" hidden="false" customHeight="false" outlineLevel="0" collapsed="false">
      <c r="B578" s="351" t="n">
        <v>43702</v>
      </c>
      <c r="C578" s="348" t="n">
        <f aca="false">YEAR('LT records'!$B578)</f>
        <v>2019</v>
      </c>
      <c r="D578" s="346" t="str">
        <f aca="false">'LT records'!$C578&amp;"-"&amp;MONTH('LT records'!$B578)</f>
        <v>2019-8</v>
      </c>
      <c r="E578" s="324" t="s">
        <v>423</v>
      </c>
      <c r="F578" s="324" t="str">
        <f aca="false">LEFT('LT records'!$E578,3)</f>
        <v>Sma</v>
      </c>
      <c r="G578" s="354" t="str">
        <f aca="false">IF(OR('LT records'!$F578="MyF", 'LT records'!$F578="DEP"),"DEP",IF('LT records'!$F578="CSH","CSH",IF('LT records'!$F578="BON","BND",IF('LT records'!$F578="Sma","MKT",IF(OR('LT records'!$F578="Val", 'LT records'!$F578="EUR"),"FCY",IF('LT records'!$F578="X-P","PP3",IF('LT records'!$F578="X-m","XAU","???")))))))</f>
        <v>MKT</v>
      </c>
      <c r="H578" s="325" t="n">
        <v>1100</v>
      </c>
      <c r="I578" s="340"/>
      <c r="J578" s="340"/>
      <c r="K578" s="340"/>
      <c r="L578" s="341" t="s">
        <v>460</v>
      </c>
      <c r="M578" s="350" t="str">
        <f aca="false">YEAR('LT records'!$B578)&amp;"-"&amp;MONTH('LT records'!$B578)</f>
        <v>2019-8</v>
      </c>
      <c r="N578" s="343" t="n">
        <f aca="false">'LT records'!$H578+'LT records'!$I578</f>
        <v>1100</v>
      </c>
      <c r="O578" s="326"/>
      <c r="P578" s="324"/>
      <c r="R578" s="327"/>
    </row>
    <row r="579" customFormat="false" ht="12.8" hidden="false" customHeight="false" outlineLevel="0" collapsed="false">
      <c r="B579" s="351" t="n">
        <v>43702</v>
      </c>
      <c r="C579" s="348" t="n">
        <f aca="false">YEAR('LT records'!$B579)</f>
        <v>2019</v>
      </c>
      <c r="D579" s="346" t="str">
        <f aca="false">'LT records'!$C579&amp;"-"&amp;MONTH('LT records'!$B579)</f>
        <v>2019-8</v>
      </c>
      <c r="E579" s="324" t="s">
        <v>318</v>
      </c>
      <c r="F579" s="324" t="str">
        <f aca="false">LEFT('LT records'!$E579,3)</f>
        <v>X-P</v>
      </c>
      <c r="G579" s="354" t="str">
        <f aca="false">IF(OR('LT records'!$F579="MyF", 'LT records'!$F579="DEP"),"DEP",IF('LT records'!$F579="CSH","CSH",IF('LT records'!$F579="BON","BND",IF('LT records'!$F579="Sma","MKT",IF(OR('LT records'!$F579="Val", 'LT records'!$F579="EUR"),"FCY",IF('LT records'!$F579="X-P","PP3",IF('LT records'!$F579="X-m","XAU","???")))))))</f>
        <v>PP3</v>
      </c>
      <c r="H579" s="325" t="n">
        <v>400</v>
      </c>
      <c r="I579" s="340"/>
      <c r="J579" s="340"/>
      <c r="K579" s="340"/>
      <c r="L579" s="341" t="s">
        <v>595</v>
      </c>
      <c r="M579" s="350" t="str">
        <f aca="false">YEAR('LT records'!$B579)&amp;"-"&amp;MONTH('LT records'!$B579)</f>
        <v>2019-8</v>
      </c>
      <c r="N579" s="343" t="n">
        <f aca="false">'LT records'!$H579+'LT records'!$I579</f>
        <v>400</v>
      </c>
      <c r="O579" s="326"/>
      <c r="P579" s="324"/>
      <c r="R579" s="327"/>
    </row>
    <row r="580" customFormat="false" ht="12.8" hidden="false" customHeight="false" outlineLevel="0" collapsed="false">
      <c r="B580" s="351" t="n">
        <v>43703</v>
      </c>
      <c r="C580" s="348" t="n">
        <f aca="false">YEAR('LT records'!$B580)</f>
        <v>2019</v>
      </c>
      <c r="D580" s="346" t="str">
        <f aca="false">'LT records'!$C580&amp;"-"&amp;MONTH('LT records'!$B580)</f>
        <v>2019-8</v>
      </c>
      <c r="E580" s="324" t="s">
        <v>14</v>
      </c>
      <c r="F580" s="324" t="str">
        <f aca="false">LEFT('LT records'!$E580,3)</f>
        <v>CSH</v>
      </c>
      <c r="G580" s="354" t="str">
        <f aca="false">IF(OR('LT records'!$F580="MyF", 'LT records'!$F580="DEP"),"DEP",IF('LT records'!$F580="CSH","CSH",IF('LT records'!$F580="BON","BND",IF('LT records'!$F580="Sma","MKT",IF(OR('LT records'!$F580="Val", 'LT records'!$F580="EUR"),"FCY",IF('LT records'!$F580="X-P","PP3",IF('LT records'!$F580="X-m","XAU","???")))))))</f>
        <v>CSH</v>
      </c>
      <c r="H580" s="325" t="n">
        <f aca="false">-1000</f>
        <v>-1000</v>
      </c>
      <c r="I580" s="340"/>
      <c r="J580" s="340"/>
      <c r="K580" s="340"/>
      <c r="L580" s="341" t="s">
        <v>600</v>
      </c>
      <c r="M580" s="350" t="str">
        <f aca="false">YEAR('LT records'!$B580)&amp;"-"&amp;MONTH('LT records'!$B580)</f>
        <v>2019-8</v>
      </c>
      <c r="N580" s="343" t="n">
        <f aca="false">'LT records'!$H580+'LT records'!$I580</f>
        <v>-1000</v>
      </c>
      <c r="O580" s="326"/>
      <c r="P580" s="324"/>
      <c r="R580" s="327"/>
    </row>
    <row r="581" customFormat="false" ht="12.8" hidden="false" customHeight="false" outlineLevel="0" collapsed="false">
      <c r="B581" s="351" t="n">
        <v>43703</v>
      </c>
      <c r="C581" s="348" t="n">
        <f aca="false">YEAR('LT records'!$B581)</f>
        <v>2019</v>
      </c>
      <c r="D581" s="346" t="str">
        <f aca="false">'LT records'!$C581&amp;"-"&amp;MONTH('LT records'!$B581)</f>
        <v>2019-8</v>
      </c>
      <c r="E581" s="324" t="s">
        <v>444</v>
      </c>
      <c r="F581" s="324" t="str">
        <f aca="false">LEFT('LT records'!$E581,3)</f>
        <v>Val</v>
      </c>
      <c r="G581" s="354" t="str">
        <f aca="false">IF(OR('LT records'!$F581="MyF", 'LT records'!$F581="DEP"),"DEP",IF('LT records'!$F581="CSH","CSH",IF('LT records'!$F581="BON","BND",IF('LT records'!$F581="Sma","MKT",IF(OR('LT records'!$F581="Val", 'LT records'!$F581="EUR"),"FCY",IF('LT records'!$F581="X-P","PP3",IF('LT records'!$F581="X-m","XAU","???")))))))</f>
        <v>FCY</v>
      </c>
      <c r="H581" s="325" t="n">
        <v>997.75</v>
      </c>
      <c r="I581" s="340"/>
      <c r="J581" s="340" t="n">
        <v>210</v>
      </c>
      <c r="K581" s="340"/>
      <c r="L581" s="341" t="s">
        <v>601</v>
      </c>
      <c r="M581" s="350" t="str">
        <f aca="false">YEAR('LT records'!$B581)&amp;"-"&amp;MONTH('LT records'!$B581)</f>
        <v>2019-8</v>
      </c>
      <c r="N581" s="343" t="n">
        <f aca="false">'LT records'!$H581+'LT records'!$I581</f>
        <v>997.75</v>
      </c>
      <c r="O581" s="326"/>
      <c r="P581" s="324"/>
      <c r="R581" s="327"/>
    </row>
    <row r="582" customFormat="false" ht="12.8" hidden="false" customHeight="false" outlineLevel="0" collapsed="false">
      <c r="B582" s="351" t="n">
        <v>43705</v>
      </c>
      <c r="C582" s="348" t="n">
        <f aca="false">YEAR('LT records'!$B582)</f>
        <v>2019</v>
      </c>
      <c r="D582" s="346" t="str">
        <f aca="false">'LT records'!$C582&amp;"-"&amp;MONTH('LT records'!$B582)</f>
        <v>2019-8</v>
      </c>
      <c r="E582" s="324" t="s">
        <v>14</v>
      </c>
      <c r="F582" s="324" t="str">
        <f aca="false">LEFT('LT records'!$E582,3)</f>
        <v>CSH</v>
      </c>
      <c r="G582" s="354" t="str">
        <f aca="false">IF(OR('LT records'!$F582="MyF", 'LT records'!$F582="DEP"),"DEP",IF('LT records'!$F582="CSH","CSH",IF('LT records'!$F582="BON","BND",IF('LT records'!$F582="Sma","MKT",IF(OR('LT records'!$F582="Val", 'LT records'!$F582="EUR"),"FCY",IF('LT records'!$F582="X-P","PP3",IF('LT records'!$F582="X-m","XAU","???")))))))</f>
        <v>CSH</v>
      </c>
      <c r="H582" s="325" t="n">
        <f aca="false">50+2</f>
        <v>52</v>
      </c>
      <c r="I582" s="340" t="n">
        <v>11.33</v>
      </c>
      <c r="J582" s="340"/>
      <c r="K582" s="340"/>
      <c r="L582" s="341" t="s">
        <v>602</v>
      </c>
      <c r="M582" s="350" t="str">
        <f aca="false">YEAR('LT records'!$B582)&amp;"-"&amp;MONTH('LT records'!$B582)</f>
        <v>2019-8</v>
      </c>
      <c r="N582" s="343" t="n">
        <f aca="false">'LT records'!$H582+'LT records'!$I582</f>
        <v>63.33</v>
      </c>
      <c r="O582" s="326"/>
      <c r="P582" s="324"/>
      <c r="R582" s="327"/>
    </row>
    <row r="583" customFormat="false" ht="12.8" hidden="false" customHeight="false" outlineLevel="0" collapsed="false">
      <c r="B583" s="351" t="n">
        <v>43712</v>
      </c>
      <c r="C583" s="348" t="n">
        <f aca="false">YEAR('LT records'!$B583)</f>
        <v>2019</v>
      </c>
      <c r="D583" s="346" t="str">
        <f aca="false">'LT records'!$C583&amp;"-"&amp;MONTH('LT records'!$B583)</f>
        <v>2019-9</v>
      </c>
      <c r="E583" s="324" t="s">
        <v>444</v>
      </c>
      <c r="F583" s="324" t="str">
        <f aca="false">LEFT('LT records'!$E583,3)</f>
        <v>Val</v>
      </c>
      <c r="G583" s="354" t="str">
        <f aca="false">IF(OR('LT records'!$F583="MyF", 'LT records'!$F583="DEP"),"DEP",IF('LT records'!$F583="CSH","CSH",IF('LT records'!$F583="BON","BND",IF('LT records'!$F583="Sma","MKT",IF(OR('LT records'!$F583="Val", 'LT records'!$F583="EUR"),"FCY",IF('LT records'!$F583="X-P","PP3",IF('LT records'!$F583="X-m","XAU","???")))))))</f>
        <v>FCY</v>
      </c>
      <c r="H583" s="325" t="n">
        <v>0</v>
      </c>
      <c r="I583" s="340"/>
      <c r="J583" s="340" t="n">
        <v>-6.4</v>
      </c>
      <c r="K583" s="340"/>
      <c r="L583" s="341" t="s">
        <v>603</v>
      </c>
      <c r="M583" s="350" t="str">
        <f aca="false">YEAR('LT records'!$B583)&amp;"-"&amp;MONTH('LT records'!$B583)</f>
        <v>2019-9</v>
      </c>
      <c r="N583" s="343" t="n">
        <f aca="false">'LT records'!$H583+'LT records'!$I583</f>
        <v>0</v>
      </c>
      <c r="O583" s="326"/>
      <c r="P583" s="324"/>
      <c r="R583" s="327"/>
    </row>
    <row r="584" customFormat="false" ht="12.8" hidden="false" customHeight="false" outlineLevel="0" collapsed="false">
      <c r="B584" s="351" t="n">
        <v>43712</v>
      </c>
      <c r="C584" s="348" t="n">
        <f aca="false">YEAR('LT records'!$B584)</f>
        <v>2019</v>
      </c>
      <c r="D584" s="346" t="str">
        <f aca="false">'LT records'!$C584&amp;"-"&amp;MONTH('LT records'!$B584)</f>
        <v>2019-9</v>
      </c>
      <c r="E584" s="324" t="s">
        <v>517</v>
      </c>
      <c r="F584" s="324" t="str">
        <f aca="false">LEFT('LT records'!$E584,3)</f>
        <v>EUR</v>
      </c>
      <c r="G584" s="354" t="str">
        <f aca="false">IF(OR('LT records'!$F584="MyF", 'LT records'!$F584="DEP"),"DEP",IF('LT records'!$F584="CSH","CSH",IF('LT records'!$F584="BON","BND",IF('LT records'!$F584="Sma","MKT",IF(OR('LT records'!$F584="Val", 'LT records'!$F584="EUR"),"FCY",IF('LT records'!$F584="X-P","PP3",IF('LT records'!$F584="X-m","XAU","???")))))))</f>
        <v>FCY</v>
      </c>
      <c r="H584" s="325" t="n">
        <v>0</v>
      </c>
      <c r="I584" s="340"/>
      <c r="J584" s="340" t="n">
        <v>6.4</v>
      </c>
      <c r="K584" s="340" t="n">
        <v>3.6</v>
      </c>
      <c r="L584" s="341" t="s">
        <v>604</v>
      </c>
      <c r="M584" s="350" t="str">
        <f aca="false">YEAR('LT records'!$B584)&amp;"-"&amp;MONTH('LT records'!$B584)</f>
        <v>2019-9</v>
      </c>
      <c r="N584" s="343" t="n">
        <f aca="false">'LT records'!$H584+'LT records'!$I584</f>
        <v>0</v>
      </c>
      <c r="O584" s="326"/>
      <c r="P584" s="324"/>
      <c r="R584" s="327"/>
    </row>
    <row r="585" customFormat="false" ht="12.8" hidden="false" customHeight="false" outlineLevel="0" collapsed="false">
      <c r="B585" s="351" t="n">
        <v>43712</v>
      </c>
      <c r="C585" s="348" t="n">
        <f aca="false">YEAR('LT records'!$B585)</f>
        <v>2019</v>
      </c>
      <c r="D585" s="346" t="str">
        <f aca="false">'LT records'!$C585&amp;"-"&amp;MONTH('LT records'!$B585)</f>
        <v>2019-9</v>
      </c>
      <c r="E585" s="324" t="s">
        <v>14</v>
      </c>
      <c r="F585" s="324" t="str">
        <f aca="false">LEFT('LT records'!$E585,3)</f>
        <v>CSH</v>
      </c>
      <c r="G585" s="354" t="str">
        <f aca="false">IF(OR('LT records'!$F585="MyF", 'LT records'!$F585="DEP"),"DEP",IF('LT records'!$F585="CSH","CSH",IF('LT records'!$F585="BON","BND",IF('LT records'!$F585="Sma","MKT",IF(OR('LT records'!$F585="Val", 'LT records'!$F585="EUR"),"FCY",IF('LT records'!$F585="X-P","PP3",IF('LT records'!$F585="X-m","XAU","???")))))))</f>
        <v>CSH</v>
      </c>
      <c r="H585" s="325" t="n">
        <v>-3806.5</v>
      </c>
      <c r="I585" s="340"/>
      <c r="J585" s="340"/>
      <c r="K585" s="340"/>
      <c r="L585" s="341" t="s">
        <v>603</v>
      </c>
      <c r="M585" s="350" t="str">
        <f aca="false">YEAR('LT records'!$B585)&amp;"-"&amp;MONTH('LT records'!$B585)</f>
        <v>2019-9</v>
      </c>
      <c r="N585" s="343" t="n">
        <f aca="false">'LT records'!$H585+'LT records'!$I585</f>
        <v>-3806.5</v>
      </c>
      <c r="O585" s="326"/>
      <c r="P585" s="324"/>
      <c r="R585" s="327"/>
    </row>
    <row r="586" customFormat="false" ht="12.8" hidden="false" customHeight="false" outlineLevel="0" collapsed="false">
      <c r="B586" s="351" t="n">
        <v>43712</v>
      </c>
      <c r="C586" s="348" t="n">
        <f aca="false">YEAR('LT records'!$B586)</f>
        <v>2019</v>
      </c>
      <c r="D586" s="346" t="str">
        <f aca="false">'LT records'!$C586&amp;"-"&amp;MONTH('LT records'!$B586)</f>
        <v>2019-9</v>
      </c>
      <c r="E586" s="324" t="s">
        <v>304</v>
      </c>
      <c r="F586" s="324" t="str">
        <f aca="false">LEFT('LT records'!$E586,3)</f>
        <v>DEP</v>
      </c>
      <c r="G586" s="354" t="str">
        <f aca="false">IF(OR('LT records'!$F586="MyF", 'LT records'!$F586="DEP"),"DEP",IF('LT records'!$F586="CSH","CSH",IF('LT records'!$F586="BON","BND",IF('LT records'!$F586="Sma","MKT",IF(OR('LT records'!$F586="Val", 'LT records'!$F586="EUR"),"FCY",IF('LT records'!$F586="X-P","PP3",IF('LT records'!$F586="X-m","XAU","???")))))))</f>
        <v>DEP</v>
      </c>
      <c r="H586" s="325" t="n">
        <v>3806.5</v>
      </c>
      <c r="I586" s="340" t="n">
        <v>193.5</v>
      </c>
      <c r="J586" s="340"/>
      <c r="K586" s="340"/>
      <c r="L586" s="341" t="s">
        <v>605</v>
      </c>
      <c r="M586" s="350" t="str">
        <f aca="false">YEAR('LT records'!$B586)&amp;"-"&amp;MONTH('LT records'!$B586)</f>
        <v>2019-9</v>
      </c>
      <c r="N586" s="343" t="n">
        <f aca="false">'LT records'!$H586+'LT records'!$I586</f>
        <v>4000</v>
      </c>
      <c r="O586" s="326"/>
      <c r="P586" s="324"/>
      <c r="R586" s="327"/>
    </row>
    <row r="587" customFormat="false" ht="12.8" hidden="false" customHeight="false" outlineLevel="0" collapsed="false">
      <c r="B587" s="351" t="n">
        <v>43723</v>
      </c>
      <c r="C587" s="348" t="n">
        <f aca="false">YEAR('LT records'!$B587)</f>
        <v>2019</v>
      </c>
      <c r="D587" s="346" t="str">
        <f aca="false">'LT records'!$C587&amp;"-"&amp;MONTH('LT records'!$B587)</f>
        <v>2019-9</v>
      </c>
      <c r="E587" s="324" t="s">
        <v>14</v>
      </c>
      <c r="F587" s="324" t="str">
        <f aca="false">LEFT('LT records'!$E587,3)</f>
        <v>CSH</v>
      </c>
      <c r="G587" s="354" t="str">
        <f aca="false">IF(OR('LT records'!$F587="MyF", 'LT records'!$F587="DEP"),"DEP",IF('LT records'!$F587="CSH","CSH",IF('LT records'!$F587="BON","BND",IF('LT records'!$F587="Sma","MKT",IF(OR('LT records'!$F587="Val", 'LT records'!$F587="EUR"),"FCY",IF('LT records'!$F587="X-P","PP3",IF('LT records'!$F587="X-m","XAU","???")))))))</f>
        <v>CSH</v>
      </c>
      <c r="H587" s="325" t="n">
        <f aca="false">-150+18</f>
        <v>-132</v>
      </c>
      <c r="I587" s="340"/>
      <c r="J587" s="340"/>
      <c r="K587" s="340"/>
      <c r="L587" s="341" t="s">
        <v>593</v>
      </c>
      <c r="M587" s="350" t="str">
        <f aca="false">YEAR('LT records'!$B587)&amp;"-"&amp;MONTH('LT records'!$B587)</f>
        <v>2019-9</v>
      </c>
      <c r="N587" s="343" t="n">
        <f aca="false">'LT records'!$H587+'LT records'!$I587</f>
        <v>-132</v>
      </c>
      <c r="O587" s="326"/>
      <c r="P587" s="324"/>
      <c r="R587" s="327"/>
    </row>
    <row r="588" customFormat="false" ht="12.8" hidden="false" customHeight="false" outlineLevel="0" collapsed="false">
      <c r="B588" s="351" t="n">
        <v>43726</v>
      </c>
      <c r="C588" s="348" t="n">
        <f aca="false">YEAR('LT records'!$B588)</f>
        <v>2019</v>
      </c>
      <c r="D588" s="346" t="str">
        <f aca="false">'LT records'!$C588&amp;"-"&amp;MONTH('LT records'!$B588)</f>
        <v>2019-9</v>
      </c>
      <c r="E588" s="324" t="s">
        <v>14</v>
      </c>
      <c r="F588" s="324" t="str">
        <f aca="false">LEFT('LT records'!$E588,3)</f>
        <v>CSH</v>
      </c>
      <c r="G588" s="354" t="str">
        <f aca="false">IF(OR('LT records'!$F588="MyF", 'LT records'!$F588="DEP"),"DEP",IF('LT records'!$F588="CSH","CSH",IF('LT records'!$F588="BON","BND",IF('LT records'!$F588="Sma","MKT",IF(OR('LT records'!$F588="Val", 'LT records'!$F588="EUR"),"FCY",IF('LT records'!$F588="X-P","PP3",IF('LT records'!$F588="X-m","XAU","???")))))))</f>
        <v>CSH</v>
      </c>
      <c r="H588" s="325" t="n">
        <f aca="false">4016</f>
        <v>4016</v>
      </c>
      <c r="I588" s="340"/>
      <c r="J588" s="340"/>
      <c r="K588" s="340"/>
      <c r="L588" s="341" t="s">
        <v>606</v>
      </c>
      <c r="M588" s="350" t="str">
        <f aca="false">YEAR('LT records'!$B588)&amp;"-"&amp;MONTH('LT records'!$B588)</f>
        <v>2019-9</v>
      </c>
      <c r="N588" s="343" t="n">
        <f aca="false">'LT records'!$H588+'LT records'!$I588</f>
        <v>4016</v>
      </c>
      <c r="O588" s="326"/>
      <c r="P588" s="324"/>
      <c r="R588" s="327"/>
    </row>
    <row r="589" customFormat="false" ht="12.8" hidden="false" customHeight="false" outlineLevel="0" collapsed="false">
      <c r="B589" s="351" t="n">
        <v>43726</v>
      </c>
      <c r="C589" s="348" t="n">
        <f aca="false">YEAR('LT records'!$B589)</f>
        <v>2019</v>
      </c>
      <c r="D589" s="346" t="str">
        <f aca="false">'LT records'!$C589&amp;"-"&amp;MONTH('LT records'!$B589)</f>
        <v>2019-9</v>
      </c>
      <c r="E589" s="324" t="s">
        <v>444</v>
      </c>
      <c r="F589" s="324" t="str">
        <f aca="false">LEFT('LT records'!$E589,3)</f>
        <v>Val</v>
      </c>
      <c r="G589" s="354" t="str">
        <f aca="false">IF(OR('LT records'!$F589="MyF", 'LT records'!$F589="DEP"),"DEP",IF('LT records'!$F589="CSH","CSH",IF('LT records'!$F589="BON","BND",IF('LT records'!$F589="Sma","MKT",IF(OR('LT records'!$F589="Val", 'LT records'!$F589="EUR"),"FCY",IF('LT records'!$F589="X-P","PP3",IF('LT records'!$F589="X-m","XAU","???")))))))</f>
        <v>FCY</v>
      </c>
      <c r="H589" s="325" t="n">
        <v>1000.21</v>
      </c>
      <c r="I589" s="340"/>
      <c r="J589" s="340" t="n">
        <v>210</v>
      </c>
      <c r="K589" s="340"/>
      <c r="L589" s="341" t="s">
        <v>607</v>
      </c>
      <c r="M589" s="350" t="str">
        <f aca="false">YEAR('LT records'!$B589)&amp;"-"&amp;MONTH('LT records'!$B589)</f>
        <v>2019-9</v>
      </c>
      <c r="N589" s="343" t="n">
        <f aca="false">'LT records'!$H589+'LT records'!$I589</f>
        <v>1000.21</v>
      </c>
      <c r="O589" s="326"/>
      <c r="P589" s="324"/>
      <c r="R589" s="327"/>
    </row>
    <row r="590" customFormat="false" ht="12.8" hidden="false" customHeight="false" outlineLevel="0" collapsed="false">
      <c r="B590" s="351" t="n">
        <v>43728</v>
      </c>
      <c r="C590" s="348" t="n">
        <f aca="false">YEAR('LT records'!$B590)</f>
        <v>2019</v>
      </c>
      <c r="D590" s="346" t="str">
        <f aca="false">'LT records'!$C590&amp;"-"&amp;MONTH('LT records'!$B590)</f>
        <v>2019-9</v>
      </c>
      <c r="E590" s="324" t="s">
        <v>14</v>
      </c>
      <c r="F590" s="324" t="str">
        <f aca="false">LEFT('LT records'!$E590,3)</f>
        <v>CSH</v>
      </c>
      <c r="G590" s="354" t="str">
        <f aca="false">IF(OR('LT records'!$F590="MyF", 'LT records'!$F590="DEP"),"DEP",IF('LT records'!$F590="CSH","CSH",IF('LT records'!$F590="BON","BND",IF('LT records'!$F590="Sma","MKT",IF(OR('LT records'!$F590="Val", 'LT records'!$F590="EUR"),"FCY",IF('LT records'!$F590="X-P","PP3",IF('LT records'!$F590="X-m","XAU","???")))))))</f>
        <v>CSH</v>
      </c>
      <c r="H590" s="325" t="n">
        <f aca="false">-516+388</f>
        <v>-128</v>
      </c>
      <c r="I590" s="340"/>
      <c r="J590" s="340"/>
      <c r="K590" s="340"/>
      <c r="L590" s="341" t="s">
        <v>480</v>
      </c>
      <c r="M590" s="350" t="str">
        <f aca="false">YEAR('LT records'!$B590)&amp;"-"&amp;MONTH('LT records'!$B590)</f>
        <v>2019-9</v>
      </c>
      <c r="N590" s="343" t="n">
        <f aca="false">'LT records'!$H590+'LT records'!$I590</f>
        <v>-128</v>
      </c>
      <c r="O590" s="326"/>
      <c r="P590" s="324"/>
      <c r="R590" s="327"/>
    </row>
    <row r="591" customFormat="false" ht="12.8" hidden="false" customHeight="false" outlineLevel="0" collapsed="false">
      <c r="B591" s="351" t="n">
        <v>43733</v>
      </c>
      <c r="C591" s="348" t="n">
        <f aca="false">YEAR('LT records'!$B591)</f>
        <v>2019</v>
      </c>
      <c r="D591" s="346" t="str">
        <f aca="false">'LT records'!$C591&amp;"-"&amp;MONTH('LT records'!$B591)</f>
        <v>2019-9</v>
      </c>
      <c r="E591" s="324" t="s">
        <v>423</v>
      </c>
      <c r="F591" s="324" t="str">
        <f aca="false">LEFT('LT records'!$E591,3)</f>
        <v>Sma</v>
      </c>
      <c r="G591" s="354" t="str">
        <f aca="false">IF(OR('LT records'!$F591="MyF", 'LT records'!$F591="DEP"),"DEP",IF('LT records'!$F591="CSH","CSH",IF('LT records'!$F591="BON","BND",IF('LT records'!$F591="Sma","MKT",IF(OR('LT records'!$F591="Val", 'LT records'!$F591="EUR"),"FCY",IF('LT records'!$F591="X-P","PP3",IF('LT records'!$F591="X-m","XAU","???")))))))</f>
        <v>MKT</v>
      </c>
      <c r="H591" s="325" t="n">
        <v>1100</v>
      </c>
      <c r="I591" s="340"/>
      <c r="J591" s="340"/>
      <c r="K591" s="340"/>
      <c r="L591" s="341" t="s">
        <v>460</v>
      </c>
      <c r="M591" s="350" t="str">
        <f aca="false">YEAR('LT records'!$B591)&amp;"-"&amp;MONTH('LT records'!$B591)</f>
        <v>2019-9</v>
      </c>
      <c r="N591" s="343" t="n">
        <f aca="false">'LT records'!$H591+'LT records'!$I591</f>
        <v>1100</v>
      </c>
      <c r="O591" s="326"/>
      <c r="P591" s="324"/>
      <c r="R591" s="327"/>
    </row>
    <row r="592" customFormat="false" ht="12.8" hidden="false" customHeight="false" outlineLevel="0" collapsed="false">
      <c r="B592" s="351" t="n">
        <v>43733</v>
      </c>
      <c r="C592" s="348" t="n">
        <f aca="false">YEAR('LT records'!$B592)</f>
        <v>2019</v>
      </c>
      <c r="D592" s="346" t="str">
        <f aca="false">'LT records'!$C592&amp;"-"&amp;MONTH('LT records'!$B592)</f>
        <v>2019-9</v>
      </c>
      <c r="E592" s="324" t="s">
        <v>318</v>
      </c>
      <c r="F592" s="324" t="str">
        <f aca="false">LEFT('LT records'!$E592,3)</f>
        <v>X-P</v>
      </c>
      <c r="G592" s="354" t="str">
        <f aca="false">IF(OR('LT records'!$F592="MyF", 'LT records'!$F592="DEP"),"DEP",IF('LT records'!$F592="CSH","CSH",IF('LT records'!$F592="BON","BND",IF('LT records'!$F592="Sma","MKT",IF(OR('LT records'!$F592="Val", 'LT records'!$F592="EUR"),"FCY",IF('LT records'!$F592="X-P","PP3",IF('LT records'!$F592="X-m","XAU","???")))))))</f>
        <v>PP3</v>
      </c>
      <c r="H592" s="325" t="n">
        <v>400</v>
      </c>
      <c r="I592" s="340"/>
      <c r="J592" s="340"/>
      <c r="K592" s="340"/>
      <c r="L592" s="341" t="s">
        <v>595</v>
      </c>
      <c r="M592" s="350" t="str">
        <f aca="false">YEAR('LT records'!$B592)&amp;"-"&amp;MONTH('LT records'!$B592)</f>
        <v>2019-9</v>
      </c>
      <c r="N592" s="343" t="n">
        <f aca="false">'LT records'!$H592+'LT records'!$I592</f>
        <v>400</v>
      </c>
      <c r="O592" s="326"/>
      <c r="P592" s="324"/>
      <c r="R592" s="327"/>
    </row>
    <row r="593" customFormat="false" ht="12.8" hidden="false" customHeight="false" outlineLevel="0" collapsed="false">
      <c r="B593" s="351" t="n">
        <v>43736</v>
      </c>
      <c r="C593" s="348" t="n">
        <f aca="false">YEAR('LT records'!$B593)</f>
        <v>2019</v>
      </c>
      <c r="D593" s="346" t="str">
        <f aca="false">'LT records'!$C593&amp;"-"&amp;MONTH('LT records'!$B593)</f>
        <v>2019-9</v>
      </c>
      <c r="E593" s="324" t="s">
        <v>14</v>
      </c>
      <c r="F593" s="324" t="str">
        <f aca="false">LEFT('LT records'!$E593,3)</f>
        <v>CSH</v>
      </c>
      <c r="G593" s="354" t="str">
        <f aca="false">IF(OR('LT records'!$F593="MyF", 'LT records'!$F593="DEP"),"DEP",IF('LT records'!$F593="CSH","CSH",IF('LT records'!$F593="BON","BND",IF('LT records'!$F593="Sma","MKT",IF(OR('LT records'!$F593="Val", 'LT records'!$F593="EUR"),"FCY",IF('LT records'!$F593="X-P","PP3",IF('LT records'!$F593="X-m","XAU","???")))))))</f>
        <v>CSH</v>
      </c>
      <c r="H593" s="325" t="n">
        <f aca="false">-50+50+50</f>
        <v>50</v>
      </c>
      <c r="I593" s="340" t="n">
        <v>12.09</v>
      </c>
      <c r="J593" s="340"/>
      <c r="K593" s="340"/>
      <c r="L593" s="341" t="s">
        <v>608</v>
      </c>
      <c r="M593" s="350" t="str">
        <f aca="false">YEAR('LT records'!$B593)&amp;"-"&amp;MONTH('LT records'!$B593)</f>
        <v>2019-9</v>
      </c>
      <c r="N593" s="343" t="n">
        <f aca="false">'LT records'!$H593+'LT records'!$I593</f>
        <v>62.09</v>
      </c>
      <c r="O593" s="326"/>
      <c r="P593" s="324"/>
      <c r="R593" s="327"/>
    </row>
    <row r="594" customFormat="false" ht="12.8" hidden="false" customHeight="false" outlineLevel="0" collapsed="false">
      <c r="B594" s="351" t="n">
        <v>43740</v>
      </c>
      <c r="C594" s="348" t="n">
        <f aca="false">YEAR('LT records'!$B594)</f>
        <v>2019</v>
      </c>
      <c r="D594" s="346" t="str">
        <f aca="false">'LT records'!$C594&amp;"-"&amp;MONTH('LT records'!$B594)</f>
        <v>2019-10</v>
      </c>
      <c r="E594" s="324" t="s">
        <v>14</v>
      </c>
      <c r="F594" s="324" t="str">
        <f aca="false">LEFT('LT records'!$E594,3)</f>
        <v>CSH</v>
      </c>
      <c r="G594" s="354" t="str">
        <f aca="false">IF(OR('LT records'!$F594="MyF", 'LT records'!$F594="DEP"),"DEP",IF('LT records'!$F594="CSH","CSH",IF('LT records'!$F594="BON","BND",IF('LT records'!$F594="Sma","MKT",IF(OR('LT records'!$F594="Val", 'LT records'!$F594="EUR"),"FCY",IF('LT records'!$F594="X-P","PP3",IF('LT records'!$F594="X-m","XAU","???")))))))</f>
        <v>CSH</v>
      </c>
      <c r="H594" s="325" t="n">
        <v>-3640</v>
      </c>
      <c r="I594" s="340"/>
      <c r="J594" s="340"/>
      <c r="K594" s="340"/>
      <c r="L594" s="341" t="s">
        <v>609</v>
      </c>
      <c r="M594" s="350" t="str">
        <f aca="false">YEAR('LT records'!$B594)&amp;"-"&amp;MONTH('LT records'!$B594)</f>
        <v>2019-10</v>
      </c>
      <c r="N594" s="343" t="n">
        <f aca="false">'LT records'!$H594+'LT records'!$I594</f>
        <v>-3640</v>
      </c>
      <c r="O594" s="326"/>
      <c r="P594" s="324"/>
      <c r="R594" s="327"/>
    </row>
    <row r="595" customFormat="false" ht="12.8" hidden="false" customHeight="false" outlineLevel="0" collapsed="false">
      <c r="B595" s="351" t="n">
        <v>43740</v>
      </c>
      <c r="C595" s="348" t="n">
        <f aca="false">YEAR('LT records'!$B595)</f>
        <v>2019</v>
      </c>
      <c r="D595" s="346" t="str">
        <f aca="false">'LT records'!$C595&amp;"-"&amp;MONTH('LT records'!$B595)</f>
        <v>2019-10</v>
      </c>
      <c r="E595" s="324" t="s">
        <v>305</v>
      </c>
      <c r="F595" s="324" t="str">
        <f aca="false">LEFT('LT records'!$E595,3)</f>
        <v>DEP</v>
      </c>
      <c r="G595" s="354" t="str">
        <f aca="false">IF(OR('LT records'!$F595="MyF", 'LT records'!$F595="DEP"),"DEP",IF('LT records'!$F595="CSH","CSH",IF('LT records'!$F595="BON","BND",IF('LT records'!$F595="Sma","MKT",IF(OR('LT records'!$F595="Val", 'LT records'!$F595="EUR"),"FCY",IF('LT records'!$F595="X-P","PP3",IF('LT records'!$F595="X-m","XAU","???")))))))</f>
        <v>DEP</v>
      </c>
      <c r="H595" s="325" t="n">
        <v>3640</v>
      </c>
      <c r="I595" s="340" t="n">
        <v>360</v>
      </c>
      <c r="J595" s="340"/>
      <c r="K595" s="340"/>
      <c r="L595" s="341" t="s">
        <v>562</v>
      </c>
      <c r="M595" s="350" t="str">
        <f aca="false">YEAR('LT records'!$B595)&amp;"-"&amp;MONTH('LT records'!$B595)</f>
        <v>2019-10</v>
      </c>
      <c r="N595" s="343" t="n">
        <f aca="false">'LT records'!$H595+'LT records'!$I595</f>
        <v>4000</v>
      </c>
      <c r="O595" s="326"/>
      <c r="P595" s="324"/>
      <c r="R595" s="327"/>
    </row>
    <row r="596" customFormat="false" ht="12.8" hidden="false" customHeight="false" outlineLevel="0" collapsed="false">
      <c r="B596" s="351" t="n">
        <v>43740</v>
      </c>
      <c r="C596" s="348" t="n">
        <f aca="false">YEAR('LT records'!$B596)</f>
        <v>2019</v>
      </c>
      <c r="D596" s="346" t="str">
        <f aca="false">'LT records'!$C596&amp;"-"&amp;MONTH('LT records'!$B596)</f>
        <v>2019-10</v>
      </c>
      <c r="E596" s="324" t="s">
        <v>444</v>
      </c>
      <c r="F596" s="324" t="str">
        <f aca="false">LEFT('LT records'!$E596,3)</f>
        <v>Val</v>
      </c>
      <c r="G596" s="354" t="str">
        <f aca="false">IF(OR('LT records'!$F596="MyF", 'LT records'!$F596="DEP"),"DEP",IF('LT records'!$F596="CSH","CSH",IF('LT records'!$F596="BON","BND",IF('LT records'!$F596="Sma","MKT",IF(OR('LT records'!$F596="Val", 'LT records'!$F596="EUR"),"FCY",IF('LT records'!$F596="X-P","PP3",IF('LT records'!$F596="X-m","XAU","???")))))))</f>
        <v>FCY</v>
      </c>
      <c r="H596" s="325" t="n">
        <v>0</v>
      </c>
      <c r="I596" s="340"/>
      <c r="J596" s="340" t="n">
        <v>-6.4</v>
      </c>
      <c r="K596" s="340"/>
      <c r="L596" s="341" t="s">
        <v>609</v>
      </c>
      <c r="M596" s="350" t="str">
        <f aca="false">YEAR('LT records'!$B596)&amp;"-"&amp;MONTH('LT records'!$B596)</f>
        <v>2019-10</v>
      </c>
      <c r="N596" s="343" t="n">
        <f aca="false">'LT records'!$H596+'LT records'!$I596</f>
        <v>0</v>
      </c>
      <c r="O596" s="326"/>
      <c r="P596" s="324"/>
      <c r="R596" s="327"/>
    </row>
    <row r="597" customFormat="false" ht="12.8" hidden="false" customHeight="false" outlineLevel="0" collapsed="false">
      <c r="B597" s="351" t="n">
        <v>43740</v>
      </c>
      <c r="C597" s="348" t="n">
        <f aca="false">YEAR('LT records'!$B597)</f>
        <v>2019</v>
      </c>
      <c r="D597" s="346" t="str">
        <f aca="false">'LT records'!$C597&amp;"-"&amp;MONTH('LT records'!$B597)</f>
        <v>2019-10</v>
      </c>
      <c r="E597" s="324" t="s">
        <v>523</v>
      </c>
      <c r="F597" s="324" t="str">
        <f aca="false">LEFT('LT records'!$E597,3)</f>
        <v>EUR</v>
      </c>
      <c r="G597" s="354" t="str">
        <f aca="false">IF(OR('LT records'!$F597="MyF", 'LT records'!$F597="DEP"),"DEP",IF('LT records'!$F597="CSH","CSH",IF('LT records'!$F597="BON","BND",IF('LT records'!$F597="Sma","MKT",IF(OR('LT records'!$F597="Val", 'LT records'!$F597="EUR"),"FCY",IF('LT records'!$F597="X-P","PP3",IF('LT records'!$F597="X-m","XAU","???")))))))</f>
        <v>FCY</v>
      </c>
      <c r="H597" s="325" t="n">
        <v>0</v>
      </c>
      <c r="I597" s="340"/>
      <c r="J597" s="340" t="n">
        <v>6.4</v>
      </c>
      <c r="K597" s="340" t="n">
        <v>3.6</v>
      </c>
      <c r="L597" s="341" t="s">
        <v>562</v>
      </c>
      <c r="M597" s="350" t="str">
        <f aca="false">YEAR('LT records'!$B597)&amp;"-"&amp;MONTH('LT records'!$B597)</f>
        <v>2019-10</v>
      </c>
      <c r="N597" s="343" t="n">
        <f aca="false">'LT records'!$H597+'LT records'!$I597</f>
        <v>0</v>
      </c>
      <c r="O597" s="326"/>
      <c r="P597" s="324"/>
      <c r="R597" s="327"/>
    </row>
    <row r="598" customFormat="false" ht="12.8" hidden="false" customHeight="false" outlineLevel="0" collapsed="false">
      <c r="B598" s="351" t="n">
        <v>43745</v>
      </c>
      <c r="C598" s="348" t="n">
        <f aca="false">YEAR('LT records'!$B598)</f>
        <v>2019</v>
      </c>
      <c r="D598" s="346" t="str">
        <f aca="false">'LT records'!$C598&amp;"-"&amp;MONTH('LT records'!$B598)</f>
        <v>2019-10</v>
      </c>
      <c r="E598" s="324" t="s">
        <v>444</v>
      </c>
      <c r="F598" s="324" t="str">
        <f aca="false">LEFT('LT records'!$E598,3)</f>
        <v>Val</v>
      </c>
      <c r="G598" s="354" t="str">
        <f aca="false">IF(OR('LT records'!$F598="MyF", 'LT records'!$F598="DEP"),"DEP",IF('LT records'!$F598="CSH","CSH",IF('LT records'!$F598="BON","BND",IF('LT records'!$F598="Sma","MKT",IF(OR('LT records'!$F598="Val", 'LT records'!$F598="EUR"),"FCY",IF('LT records'!$F598="X-P","PP3",IF('LT records'!$F598="X-m","XAU","???")))))))</f>
        <v>FCY</v>
      </c>
      <c r="H598" s="325" t="n">
        <v>238</v>
      </c>
      <c r="I598" s="340"/>
      <c r="J598" s="340" t="n">
        <v>50</v>
      </c>
      <c r="K598" s="340"/>
      <c r="L598" s="341" t="s">
        <v>610</v>
      </c>
      <c r="M598" s="350" t="str">
        <f aca="false">YEAR('LT records'!$B598)&amp;"-"&amp;MONTH('LT records'!$B598)</f>
        <v>2019-10</v>
      </c>
      <c r="N598" s="343" t="n">
        <f aca="false">'LT records'!$H598+'LT records'!$I598</f>
        <v>238</v>
      </c>
      <c r="O598" s="326"/>
      <c r="P598" s="324"/>
      <c r="R598" s="327"/>
    </row>
    <row r="599" customFormat="false" ht="12.8" hidden="false" customHeight="false" outlineLevel="0" collapsed="false">
      <c r="B599" s="351" t="n">
        <v>43759</v>
      </c>
      <c r="C599" s="348" t="n">
        <f aca="false">YEAR('LT records'!$B599)</f>
        <v>2019</v>
      </c>
      <c r="D599" s="346" t="str">
        <f aca="false">'LT records'!$C599&amp;"-"&amp;MONTH('LT records'!$B599)</f>
        <v>2019-10</v>
      </c>
      <c r="E599" s="324" t="s">
        <v>14</v>
      </c>
      <c r="F599" s="324" t="str">
        <f aca="false">LEFT('LT records'!$E599,3)</f>
        <v>CSH</v>
      </c>
      <c r="G599" s="354" t="str">
        <f aca="false">IF(OR('LT records'!$F599="MyF", 'LT records'!$F599="DEP"),"DEP",IF('LT records'!$F599="CSH","CSH",IF('LT records'!$F599="BON","BND",IF('LT records'!$F599="Sma","MKT",IF(OR('LT records'!$F599="Val", 'LT records'!$F599="EUR"),"FCY",IF('LT records'!$F599="X-P","PP3",IF('LT records'!$F599="X-m","XAU","???")))))))</f>
        <v>CSH</v>
      </c>
      <c r="H599" s="325" t="n">
        <f aca="false">-207-7300</f>
        <v>-7507</v>
      </c>
      <c r="I599" s="340"/>
      <c r="J599" s="340"/>
      <c r="K599" s="340"/>
      <c r="L599" s="341" t="s">
        <v>611</v>
      </c>
      <c r="M599" s="350" t="str">
        <f aca="false">YEAR('LT records'!$B599)&amp;"-"&amp;MONTH('LT records'!$B599)</f>
        <v>2019-10</v>
      </c>
      <c r="N599" s="343" t="n">
        <f aca="false">'LT records'!$H599+'LT records'!$I599</f>
        <v>-7507</v>
      </c>
      <c r="O599" s="326"/>
      <c r="P599" s="324"/>
      <c r="R599" s="327"/>
    </row>
    <row r="600" customFormat="false" ht="12.8" hidden="false" customHeight="false" outlineLevel="0" collapsed="false">
      <c r="B600" s="351" t="n">
        <v>43761</v>
      </c>
      <c r="C600" s="348" t="n">
        <f aca="false">YEAR('LT records'!$B600)</f>
        <v>2019</v>
      </c>
      <c r="D600" s="346" t="str">
        <f aca="false">'LT records'!$C600&amp;"-"&amp;MONTH('LT records'!$B600)</f>
        <v>2019-10</v>
      </c>
      <c r="E600" s="324" t="s">
        <v>444</v>
      </c>
      <c r="F600" s="324" t="str">
        <f aca="false">LEFT('LT records'!$E600,3)</f>
        <v>Val</v>
      </c>
      <c r="G600" s="354" t="str">
        <f aca="false">IF(OR('LT records'!$F600="MyF", 'LT records'!$F600="DEP"),"DEP",IF('LT records'!$F600="CSH","CSH",IF('LT records'!$F600="BON","BND",IF('LT records'!$F600="Sma","MKT",IF(OR('LT records'!$F600="Val", 'LT records'!$F600="EUR"),"FCY",IF('LT records'!$F600="X-P","PP3",IF('LT records'!$F600="X-m","XAU","???")))))))</f>
        <v>FCY</v>
      </c>
      <c r="H600" s="325" t="n">
        <v>1107</v>
      </c>
      <c r="I600" s="340"/>
      <c r="J600" s="340" t="n">
        <v>231.28</v>
      </c>
      <c r="K600" s="340"/>
      <c r="L600" s="341" t="s">
        <v>612</v>
      </c>
      <c r="M600" s="350" t="str">
        <f aca="false">YEAR('LT records'!$B600)&amp;"-"&amp;MONTH('LT records'!$B600)</f>
        <v>2019-10</v>
      </c>
      <c r="N600" s="343" t="n">
        <f aca="false">'LT records'!$H600+'LT records'!$I600</f>
        <v>1107</v>
      </c>
      <c r="O600" s="326"/>
      <c r="P600" s="324"/>
      <c r="R600" s="327"/>
    </row>
    <row r="601" customFormat="false" ht="12.8" hidden="false" customHeight="false" outlineLevel="0" collapsed="false">
      <c r="B601" s="351" t="n">
        <v>43761</v>
      </c>
      <c r="C601" s="348" t="n">
        <f aca="false">YEAR('LT records'!$B601)</f>
        <v>2019</v>
      </c>
      <c r="D601" s="346" t="str">
        <f aca="false">'LT records'!$C601&amp;"-"&amp;MONTH('LT records'!$B601)</f>
        <v>2019-10</v>
      </c>
      <c r="E601" s="324" t="s">
        <v>14</v>
      </c>
      <c r="F601" s="324" t="str">
        <f aca="false">LEFT('LT records'!$E601,3)</f>
        <v>CSH</v>
      </c>
      <c r="G601" s="354" t="str">
        <f aca="false">IF(OR('LT records'!$F601="MyF", 'LT records'!$F601="DEP"),"DEP",IF('LT records'!$F601="CSH","CSH",IF('LT records'!$F601="BON","BND",IF('LT records'!$F601="Sma","MKT",IF(OR('LT records'!$F601="Val", 'LT records'!$F601="EUR"),"FCY",IF('LT records'!$F601="X-P","PP3",IF('LT records'!$F601="X-m","XAU","???")))))))</f>
        <v>CSH</v>
      </c>
      <c r="H601" s="325" t="n">
        <v>12437</v>
      </c>
      <c r="I601" s="340"/>
      <c r="J601" s="340"/>
      <c r="K601" s="340"/>
      <c r="L601" s="341" t="s">
        <v>56</v>
      </c>
      <c r="M601" s="350" t="str">
        <f aca="false">YEAR('LT records'!$B601)&amp;"-"&amp;MONTH('LT records'!$B601)</f>
        <v>2019-10</v>
      </c>
      <c r="N601" s="343" t="n">
        <f aca="false">'LT records'!$H601+'LT records'!$I601</f>
        <v>12437</v>
      </c>
      <c r="O601" s="326"/>
      <c r="P601" s="324"/>
      <c r="R601" s="327"/>
    </row>
    <row r="602" customFormat="false" ht="12.8" hidden="false" customHeight="false" outlineLevel="0" collapsed="false">
      <c r="B602" s="351" t="n">
        <v>43763</v>
      </c>
      <c r="C602" s="348" t="n">
        <f aca="false">YEAR('LT records'!$B602)</f>
        <v>2019</v>
      </c>
      <c r="D602" s="346" t="str">
        <f aca="false">'LT records'!$C602&amp;"-"&amp;MONTH('LT records'!$B602)</f>
        <v>2019-10</v>
      </c>
      <c r="E602" s="324" t="s">
        <v>423</v>
      </c>
      <c r="F602" s="324" t="str">
        <f aca="false">LEFT('LT records'!$E602,3)</f>
        <v>Sma</v>
      </c>
      <c r="G602" s="354" t="str">
        <f aca="false">IF(OR('LT records'!$F602="MyF", 'LT records'!$F602="DEP"),"DEP",IF('LT records'!$F602="CSH","CSH",IF('LT records'!$F602="BON","BND",IF('LT records'!$F602="Sma","MKT",IF(OR('LT records'!$F602="Val", 'LT records'!$F602="EUR"),"FCY",IF('LT records'!$F602="X-P","PP3",IF('LT records'!$F602="X-m","XAU","???")))))))</f>
        <v>MKT</v>
      </c>
      <c r="H602" s="325" t="n">
        <v>1100</v>
      </c>
      <c r="I602" s="340"/>
      <c r="J602" s="340"/>
      <c r="K602" s="340"/>
      <c r="L602" s="341" t="s">
        <v>460</v>
      </c>
      <c r="M602" s="350" t="str">
        <f aca="false">YEAR('LT records'!$B602)&amp;"-"&amp;MONTH('LT records'!$B602)</f>
        <v>2019-10</v>
      </c>
      <c r="N602" s="343" t="n">
        <f aca="false">'LT records'!$H602+'LT records'!$I602</f>
        <v>1100</v>
      </c>
      <c r="O602" s="326"/>
      <c r="P602" s="324"/>
      <c r="R602" s="327"/>
    </row>
    <row r="603" customFormat="false" ht="12.8" hidden="false" customHeight="false" outlineLevel="0" collapsed="false">
      <c r="B603" s="351" t="n">
        <v>43763</v>
      </c>
      <c r="C603" s="348" t="n">
        <f aca="false">YEAR('LT records'!$B603)</f>
        <v>2019</v>
      </c>
      <c r="D603" s="346" t="str">
        <f aca="false">'LT records'!$C603&amp;"-"&amp;MONTH('LT records'!$B603)</f>
        <v>2019-10</v>
      </c>
      <c r="E603" s="324" t="s">
        <v>318</v>
      </c>
      <c r="F603" s="324" t="str">
        <f aca="false">LEFT('LT records'!$E603,3)</f>
        <v>X-P</v>
      </c>
      <c r="G603" s="354" t="str">
        <f aca="false">IF(OR('LT records'!$F603="MyF", 'LT records'!$F603="DEP"),"DEP",IF('LT records'!$F603="CSH","CSH",IF('LT records'!$F603="BON","BND",IF('LT records'!$F603="Sma","MKT",IF(OR('LT records'!$F603="Val", 'LT records'!$F603="EUR"),"FCY",IF('LT records'!$F603="X-P","PP3",IF('LT records'!$F603="X-m","XAU","???")))))))</f>
        <v>PP3</v>
      </c>
      <c r="H603" s="325" t="n">
        <v>400</v>
      </c>
      <c r="I603" s="340"/>
      <c r="J603" s="340"/>
      <c r="K603" s="340"/>
      <c r="L603" s="341" t="s">
        <v>595</v>
      </c>
      <c r="M603" s="350" t="str">
        <f aca="false">YEAR('LT records'!$B603)&amp;"-"&amp;MONTH('LT records'!$B603)</f>
        <v>2019-10</v>
      </c>
      <c r="N603" s="343" t="n">
        <f aca="false">'LT records'!$H603+'LT records'!$I603</f>
        <v>400</v>
      </c>
      <c r="O603" s="326"/>
      <c r="P603" s="324"/>
      <c r="R603" s="327"/>
    </row>
    <row r="604" customFormat="false" ht="12.8" hidden="false" customHeight="false" outlineLevel="0" collapsed="false">
      <c r="B604" s="351" t="n">
        <v>43767</v>
      </c>
      <c r="C604" s="348" t="n">
        <f aca="false">YEAR('LT records'!$B604)</f>
        <v>2019</v>
      </c>
      <c r="D604" s="346" t="str">
        <f aca="false">'LT records'!$C604&amp;"-"&amp;MONTH('LT records'!$B604)</f>
        <v>2019-10</v>
      </c>
      <c r="E604" s="324" t="s">
        <v>14</v>
      </c>
      <c r="F604" s="324" t="str">
        <f aca="false">LEFT('LT records'!$E604,3)</f>
        <v>CSH</v>
      </c>
      <c r="G604" s="354" t="str">
        <f aca="false">IF(OR('LT records'!$F604="MyF", 'LT records'!$F604="DEP"),"DEP",IF('LT records'!$F604="CSH","CSH",IF('LT records'!$F604="BON","BND",IF('LT records'!$F604="Sma","MKT",IF(OR('LT records'!$F604="Val", 'LT records'!$F604="EUR"),"FCY",IF('LT records'!$F604="X-P","PP3",IF('LT records'!$F604="X-m","XAU","???")))))))</f>
        <v>CSH</v>
      </c>
      <c r="H604" s="325" t="n">
        <f aca="false">50</f>
        <v>50</v>
      </c>
      <c r="I604" s="340" t="n">
        <v>11.91</v>
      </c>
      <c r="J604" s="340"/>
      <c r="K604" s="340"/>
      <c r="L604" s="341" t="s">
        <v>568</v>
      </c>
      <c r="M604" s="350" t="str">
        <f aca="false">YEAR('LT records'!$B604)&amp;"-"&amp;MONTH('LT records'!$B604)</f>
        <v>2019-10</v>
      </c>
      <c r="N604" s="343" t="n">
        <f aca="false">'LT records'!$H604+'LT records'!$I604</f>
        <v>61.91</v>
      </c>
      <c r="O604" s="326"/>
      <c r="P604" s="324"/>
      <c r="R604" s="327"/>
    </row>
    <row r="605" customFormat="false" ht="12.8" hidden="false" customHeight="false" outlineLevel="0" collapsed="false">
      <c r="B605" s="351" t="n">
        <v>43767</v>
      </c>
      <c r="C605" s="348" t="n">
        <f aca="false">YEAR('LT records'!$B605)</f>
        <v>2019</v>
      </c>
      <c r="D605" s="346" t="str">
        <f aca="false">'LT records'!$C605&amp;"-"&amp;MONTH('LT records'!$B605)</f>
        <v>2019-10</v>
      </c>
      <c r="E605" s="324" t="s">
        <v>444</v>
      </c>
      <c r="F605" s="324" t="str">
        <f aca="false">LEFT('LT records'!$E605,3)</f>
        <v>Val</v>
      </c>
      <c r="G605" s="354" t="str">
        <f aca="false">IF(OR('LT records'!$F605="MyF", 'LT records'!$F605="DEP"),"DEP",IF('LT records'!$F605="CSH","CSH",IF('LT records'!$F605="BON","BND",IF('LT records'!$F605="Sma","MKT",IF(OR('LT records'!$F605="Val", 'LT records'!$F605="EUR"),"FCY",IF('LT records'!$F605="X-P","PP3",IF('LT records'!$F605="X-m","XAU","???")))))))</f>
        <v>FCY</v>
      </c>
      <c r="H605" s="325" t="n">
        <v>0</v>
      </c>
      <c r="I605" s="340"/>
      <c r="J605" s="340"/>
      <c r="K605" s="340" t="n">
        <v>0.22</v>
      </c>
      <c r="L605" s="341" t="s">
        <v>40</v>
      </c>
      <c r="M605" s="350" t="str">
        <f aca="false">YEAR('LT records'!$B605)&amp;"-"&amp;MONTH('LT records'!$B605)</f>
        <v>2019-10</v>
      </c>
      <c r="N605" s="343" t="n">
        <f aca="false">'LT records'!$H605+'LT records'!$I605</f>
        <v>0</v>
      </c>
      <c r="O605" s="326"/>
      <c r="P605" s="324"/>
      <c r="R605" s="327"/>
    </row>
    <row r="606" customFormat="false" ht="12.8" hidden="false" customHeight="false" outlineLevel="0" collapsed="false">
      <c r="B606" s="351" t="n">
        <v>43769</v>
      </c>
      <c r="C606" s="348" t="n">
        <f aca="false">YEAR('LT records'!$B606)</f>
        <v>2019</v>
      </c>
      <c r="D606" s="346" t="str">
        <f aca="false">'LT records'!$C606&amp;"-"&amp;MONTH('LT records'!$B606)</f>
        <v>2019-10</v>
      </c>
      <c r="E606" s="324" t="s">
        <v>14</v>
      </c>
      <c r="F606" s="324" t="str">
        <f aca="false">LEFT('LT records'!$E606,3)</f>
        <v>CSH</v>
      </c>
      <c r="G606" s="354" t="str">
        <f aca="false">IF(OR('LT records'!$F606="MyF", 'LT records'!$F606="DEP"),"DEP",IF('LT records'!$F606="CSH","CSH",IF('LT records'!$F606="BON","BND",IF('LT records'!$F606="Sma","MKT",IF(OR('LT records'!$F606="Val", 'LT records'!$F606="EUR"),"FCY",IF('LT records'!$F606="X-P","PP3",IF('LT records'!$F606="X-m","XAU","???")))))))</f>
        <v>CSH</v>
      </c>
      <c r="H606" s="325" t="n">
        <v>-5920</v>
      </c>
      <c r="I606" s="340"/>
      <c r="J606" s="340"/>
      <c r="K606" s="340"/>
      <c r="L606" s="341" t="s">
        <v>613</v>
      </c>
      <c r="M606" s="350" t="str">
        <f aca="false">YEAR('LT records'!$B606)&amp;"-"&amp;MONTH('LT records'!$B606)</f>
        <v>2019-10</v>
      </c>
      <c r="N606" s="343" t="n">
        <f aca="false">'LT records'!$H606+'LT records'!$I606</f>
        <v>-5920</v>
      </c>
      <c r="O606" s="326"/>
      <c r="P606" s="324"/>
      <c r="R606" s="327"/>
    </row>
    <row r="607" customFormat="false" ht="12.8" hidden="false" customHeight="false" outlineLevel="0" collapsed="false">
      <c r="B607" s="351" t="n">
        <v>43769</v>
      </c>
      <c r="C607" s="348" t="n">
        <f aca="false">YEAR('LT records'!$B607)</f>
        <v>2019</v>
      </c>
      <c r="D607" s="346" t="str">
        <f aca="false">'LT records'!$C607&amp;"-"&amp;MONTH('LT records'!$B607)</f>
        <v>2019-10</v>
      </c>
      <c r="E607" s="324" t="s">
        <v>614</v>
      </c>
      <c r="F607" s="324" t="str">
        <f aca="false">LEFT('LT records'!$E607,3)</f>
        <v>dep</v>
      </c>
      <c r="G607" s="354" t="str">
        <f aca="false">IF(OR('LT records'!$F607="MyF", 'LT records'!$F607="DEP"),"DEP",IF('LT records'!$F607="CSH","CSH",IF('LT records'!$F607="BON","BND",IF('LT records'!$F607="Sma","MKT",IF(OR('LT records'!$F607="Val", 'LT records'!$F607="EUR"),"FCY",IF('LT records'!$F607="X-P","PP3",IF('LT records'!$F607="X-m","XAU","???")))))))</f>
        <v>DEP</v>
      </c>
      <c r="H607" s="325" t="n">
        <v>5920</v>
      </c>
      <c r="I607" s="340"/>
      <c r="J607" s="340"/>
      <c r="K607" s="340"/>
      <c r="L607" s="341" t="s">
        <v>615</v>
      </c>
      <c r="M607" s="350" t="str">
        <f aca="false">YEAR('LT records'!$B607)&amp;"-"&amp;MONTH('LT records'!$B607)</f>
        <v>2019-10</v>
      </c>
      <c r="N607" s="343" t="n">
        <f aca="false">'LT records'!$H607+'LT records'!$I607</f>
        <v>5920</v>
      </c>
      <c r="O607" s="326"/>
      <c r="P607" s="324"/>
      <c r="R607" s="327"/>
    </row>
    <row r="608" customFormat="false" ht="12.8" hidden="false" customHeight="false" outlineLevel="0" collapsed="false">
      <c r="B608" s="351" t="n">
        <v>43770</v>
      </c>
      <c r="C608" s="348" t="n">
        <f aca="false">YEAR('LT records'!$B608)</f>
        <v>2019</v>
      </c>
      <c r="D608" s="346" t="str">
        <f aca="false">'LT records'!$C608&amp;"-"&amp;MONTH('LT records'!$B608)</f>
        <v>2019-11</v>
      </c>
      <c r="E608" s="324" t="s">
        <v>307</v>
      </c>
      <c r="F608" s="324" t="str">
        <f aca="false">LEFT('LT records'!$E608,3)</f>
        <v>DEP</v>
      </c>
      <c r="G608" s="354" t="str">
        <f aca="false">IF(OR('LT records'!$F608="MyF", 'LT records'!$F608="DEP"),"DEP",IF('LT records'!$F608="CSH","CSH",IF('LT records'!$F608="BON","BND",IF('LT records'!$F608="Sma","MKT",IF(OR('LT records'!$F608="Val", 'LT records'!$F608="EUR"),"FCY",IF('LT records'!$F608="X-P","PP3",IF('LT records'!$F608="X-m","XAU","???")))))))</f>
        <v>DEP</v>
      </c>
      <c r="H608" s="325" t="n">
        <v>0</v>
      </c>
      <c r="I608" s="340" t="n">
        <v>280.8</v>
      </c>
      <c r="J608" s="340"/>
      <c r="K608" s="340"/>
      <c r="L608" s="341" t="s">
        <v>40</v>
      </c>
      <c r="M608" s="350" t="str">
        <f aca="false">YEAR('LT records'!$B608)&amp;"-"&amp;MONTH('LT records'!$B608)</f>
        <v>2019-11</v>
      </c>
      <c r="N608" s="343" t="n">
        <f aca="false">'LT records'!$H608+'LT records'!$I608</f>
        <v>280.8</v>
      </c>
      <c r="O608" s="326"/>
      <c r="P608" s="324"/>
      <c r="R608" s="327"/>
    </row>
    <row r="609" customFormat="false" ht="12.8" hidden="false" customHeight="false" outlineLevel="0" collapsed="false">
      <c r="B609" s="351" t="n">
        <v>43770</v>
      </c>
      <c r="C609" s="348" t="n">
        <f aca="false">YEAR('LT records'!$B609)</f>
        <v>2019</v>
      </c>
      <c r="D609" s="346" t="str">
        <f aca="false">'LT records'!$C609&amp;"-"&amp;MONTH('LT records'!$B609)</f>
        <v>2019-11</v>
      </c>
      <c r="E609" s="324" t="s">
        <v>444</v>
      </c>
      <c r="F609" s="324" t="str">
        <f aca="false">LEFT('LT records'!$E609,3)</f>
        <v>Val</v>
      </c>
      <c r="G609" s="354" t="str">
        <f aca="false">IF(OR('LT records'!$F609="MyF", 'LT records'!$F609="DEP"),"DEP",IF('LT records'!$F609="CSH","CSH",IF('LT records'!$F609="BON","BND",IF('LT records'!$F609="Sma","MKT",IF(OR('LT records'!$F609="Val", 'LT records'!$F609="EUR"),"FCY",IF('LT records'!$F609="X-P","PP3",IF('LT records'!$F609="X-m","XAU","???")))))))</f>
        <v>FCY</v>
      </c>
      <c r="H609" s="325" t="n">
        <v>0</v>
      </c>
      <c r="I609" s="340"/>
      <c r="J609" s="340" t="n">
        <v>-6.4</v>
      </c>
      <c r="K609" s="340"/>
      <c r="L609" s="341" t="s">
        <v>616</v>
      </c>
      <c r="M609" s="350" t="str">
        <f aca="false">YEAR('LT records'!$B609)&amp;"-"&amp;MONTH('LT records'!$B609)</f>
        <v>2019-11</v>
      </c>
      <c r="N609" s="343" t="n">
        <f aca="false">'LT records'!$H609+'LT records'!$I609</f>
        <v>0</v>
      </c>
      <c r="O609" s="326"/>
      <c r="P609" s="324"/>
      <c r="R609" s="327"/>
    </row>
    <row r="610" customFormat="false" ht="12.8" hidden="false" customHeight="false" outlineLevel="0" collapsed="false">
      <c r="B610" s="351" t="n">
        <v>43770</v>
      </c>
      <c r="C610" s="348" t="n">
        <f aca="false">YEAR('LT records'!$B610)</f>
        <v>2019</v>
      </c>
      <c r="D610" s="346" t="str">
        <f aca="false">'LT records'!$C610&amp;"-"&amp;MONTH('LT records'!$B610)</f>
        <v>2019-11</v>
      </c>
      <c r="E610" s="324" t="s">
        <v>533</v>
      </c>
      <c r="F610" s="324" t="str">
        <f aca="false">LEFT('LT records'!$E610,3)</f>
        <v>EUR</v>
      </c>
      <c r="G610" s="354" t="str">
        <f aca="false">IF(OR('LT records'!$F610="MyF", 'LT records'!$F610="DEP"),"DEP",IF('LT records'!$F610="CSH","CSH",IF('LT records'!$F610="BON","BND",IF('LT records'!$F610="Sma","MKT",IF(OR('LT records'!$F610="Val", 'LT records'!$F610="EUR"),"FCY",IF('LT records'!$F610="X-P","PP3",IF('LT records'!$F610="X-m","XAU","???")))))))</f>
        <v>FCY</v>
      </c>
      <c r="H610" s="325" t="n">
        <v>0</v>
      </c>
      <c r="I610" s="340"/>
      <c r="J610" s="340" t="n">
        <v>6.4</v>
      </c>
      <c r="K610" s="340" t="n">
        <v>3.6</v>
      </c>
      <c r="L610" s="341" t="s">
        <v>617</v>
      </c>
      <c r="M610" s="350" t="str">
        <f aca="false">YEAR('LT records'!$B610)&amp;"-"&amp;MONTH('LT records'!$B610)</f>
        <v>2019-11</v>
      </c>
      <c r="N610" s="343" t="n">
        <f aca="false">'LT records'!$H610+'LT records'!$I610</f>
        <v>0</v>
      </c>
      <c r="O610" s="326"/>
      <c r="P610" s="324"/>
      <c r="R610" s="327"/>
    </row>
    <row r="611" customFormat="false" ht="12.8" hidden="false" customHeight="false" outlineLevel="0" collapsed="false">
      <c r="B611" s="351" t="n">
        <v>43789</v>
      </c>
      <c r="C611" s="348" t="n">
        <f aca="false">YEAR('LT records'!$B611)</f>
        <v>2019</v>
      </c>
      <c r="D611" s="346" t="str">
        <f aca="false">'LT records'!$C611&amp;"-"&amp;MONTH('LT records'!$B611)</f>
        <v>2019-11</v>
      </c>
      <c r="E611" s="324" t="s">
        <v>14</v>
      </c>
      <c r="F611" s="324" t="str">
        <f aca="false">LEFT('LT records'!$E611,3)</f>
        <v>CSH</v>
      </c>
      <c r="G611" s="354" t="str">
        <f aca="false">IF(OR('LT records'!$F611="MyF", 'LT records'!$F611="DEP"),"DEP",IF('LT records'!$F611="CSH","CSH",IF('LT records'!$F611="BON","BND",IF('LT records'!$F611="Sma","MKT",IF(OR('LT records'!$F611="Val", 'LT records'!$F611="EUR"),"FCY",IF('LT records'!$F611="X-P","PP3",IF('LT records'!$F611="X-m","XAU","???")))))))</f>
        <v>CSH</v>
      </c>
      <c r="H611" s="325" t="n">
        <f aca="false">-6370</f>
        <v>-6370</v>
      </c>
      <c r="I611" s="340"/>
      <c r="J611" s="340"/>
      <c r="K611" s="340"/>
      <c r="L611" s="341" t="s">
        <v>618</v>
      </c>
      <c r="M611" s="350" t="str">
        <f aca="false">YEAR('LT records'!$B611)&amp;"-"&amp;MONTH('LT records'!$B611)</f>
        <v>2019-11</v>
      </c>
      <c r="N611" s="343" t="n">
        <f aca="false">'LT records'!$H611+'LT records'!$I611</f>
        <v>-6370</v>
      </c>
      <c r="O611" s="326"/>
      <c r="P611" s="324"/>
      <c r="R611" s="327"/>
    </row>
    <row r="612" customFormat="false" ht="12.8" hidden="false" customHeight="false" outlineLevel="0" collapsed="false">
      <c r="B612" s="351" t="n">
        <v>43794</v>
      </c>
      <c r="C612" s="348" t="n">
        <f aca="false">YEAR('LT records'!$B612)</f>
        <v>2019</v>
      </c>
      <c r="D612" s="346" t="str">
        <f aca="false">'LT records'!$C612&amp;"-"&amp;MONTH('LT records'!$B612)</f>
        <v>2019-11</v>
      </c>
      <c r="E612" s="324" t="s">
        <v>423</v>
      </c>
      <c r="F612" s="324" t="str">
        <f aca="false">LEFT('LT records'!$E612,3)</f>
        <v>Sma</v>
      </c>
      <c r="G612" s="354" t="str">
        <f aca="false">IF(OR('LT records'!$F612="MyF", 'LT records'!$F612="DEP"),"DEP",IF('LT records'!$F612="CSH","CSH",IF('LT records'!$F612="BON","BND",IF('LT records'!$F612="Sma","MKT",IF(OR('LT records'!$F612="Val", 'LT records'!$F612="EUR"),"FCY",IF('LT records'!$F612="X-P","PP3",IF('LT records'!$F612="X-m","XAU","???")))))))</f>
        <v>MKT</v>
      </c>
      <c r="H612" s="325" t="n">
        <v>1100</v>
      </c>
      <c r="I612" s="340"/>
      <c r="J612" s="340"/>
      <c r="K612" s="340"/>
      <c r="L612" s="341" t="s">
        <v>460</v>
      </c>
      <c r="M612" s="350" t="str">
        <f aca="false">YEAR('LT records'!$B612)&amp;"-"&amp;MONTH('LT records'!$B612)</f>
        <v>2019-11</v>
      </c>
      <c r="N612" s="343" t="n">
        <f aca="false">'LT records'!$H612+'LT records'!$I612</f>
        <v>1100</v>
      </c>
      <c r="O612" s="326"/>
      <c r="P612" s="324"/>
      <c r="R612" s="327"/>
    </row>
    <row r="613" customFormat="false" ht="12.8" hidden="false" customHeight="false" outlineLevel="0" collapsed="false">
      <c r="B613" s="351" t="n">
        <v>43794</v>
      </c>
      <c r="C613" s="348" t="n">
        <f aca="false">YEAR('LT records'!$B613)</f>
        <v>2019</v>
      </c>
      <c r="D613" s="346" t="str">
        <f aca="false">'LT records'!$C613&amp;"-"&amp;MONTH('LT records'!$B613)</f>
        <v>2019-11</v>
      </c>
      <c r="E613" s="324" t="s">
        <v>318</v>
      </c>
      <c r="F613" s="324" t="str">
        <f aca="false">LEFT('LT records'!$E613,3)</f>
        <v>X-P</v>
      </c>
      <c r="G613" s="354" t="str">
        <f aca="false">IF(OR('LT records'!$F613="MyF", 'LT records'!$F613="DEP"),"DEP",IF('LT records'!$F613="CSH","CSH",IF('LT records'!$F613="BON","BND",IF('LT records'!$F613="Sma","MKT",IF(OR('LT records'!$F613="Val", 'LT records'!$F613="EUR"),"FCY",IF('LT records'!$F613="X-P","PP3",IF('LT records'!$F613="X-m","XAU","???")))))))</f>
        <v>PP3</v>
      </c>
      <c r="H613" s="325" t="n">
        <v>400</v>
      </c>
      <c r="I613" s="340"/>
      <c r="J613" s="340"/>
      <c r="K613" s="340"/>
      <c r="L613" s="341" t="s">
        <v>595</v>
      </c>
      <c r="M613" s="350" t="str">
        <f aca="false">YEAR('LT records'!$B613)&amp;"-"&amp;MONTH('LT records'!$B613)</f>
        <v>2019-11</v>
      </c>
      <c r="N613" s="343" t="n">
        <f aca="false">'LT records'!$H613+'LT records'!$I613</f>
        <v>400</v>
      </c>
      <c r="O613" s="326"/>
      <c r="P613" s="324"/>
      <c r="R613" s="327"/>
    </row>
    <row r="614" customFormat="false" ht="12.8" hidden="false" customHeight="false" outlineLevel="0" collapsed="false">
      <c r="B614" s="351" t="n">
        <v>43794</v>
      </c>
      <c r="C614" s="348" t="n">
        <f aca="false">YEAR('LT records'!$B614)</f>
        <v>2019</v>
      </c>
      <c r="D614" s="346" t="str">
        <f aca="false">'LT records'!$C614&amp;"-"&amp;MONTH('LT records'!$B614)</f>
        <v>2019-11</v>
      </c>
      <c r="E614" s="324" t="s">
        <v>444</v>
      </c>
      <c r="F614" s="324" t="str">
        <f aca="false">LEFT('LT records'!$E614,3)</f>
        <v>Val</v>
      </c>
      <c r="G614" s="354" t="str">
        <f aca="false">IF(OR('LT records'!$F614="MyF", 'LT records'!$F614="DEP"),"DEP",IF('LT records'!$F614="CSH","CSH",IF('LT records'!$F614="BON","BND",IF('LT records'!$F614="Sma","MKT",IF(OR('LT records'!$F614="Val", 'LT records'!$F614="EUR"),"FCY",IF('LT records'!$F614="X-P","PP3",IF('LT records'!$F614="X-m","XAU","???")))))))</f>
        <v>FCY</v>
      </c>
      <c r="H614" s="325" t="n">
        <v>719.79</v>
      </c>
      <c r="I614" s="340"/>
      <c r="J614" s="340" t="n">
        <v>150</v>
      </c>
      <c r="K614" s="340"/>
      <c r="L614" s="341" t="s">
        <v>619</v>
      </c>
      <c r="M614" s="350" t="str">
        <f aca="false">YEAR('LT records'!$B614)&amp;"-"&amp;MONTH('LT records'!$B614)</f>
        <v>2019-11</v>
      </c>
      <c r="N614" s="343" t="n">
        <f aca="false">'LT records'!$H614+'LT records'!$I614</f>
        <v>719.79</v>
      </c>
      <c r="O614" s="326"/>
      <c r="P614" s="324"/>
      <c r="R614" s="327"/>
    </row>
    <row r="615" customFormat="false" ht="12.8" hidden="false" customHeight="false" outlineLevel="0" collapsed="false">
      <c r="B615" s="351" t="n">
        <v>43794</v>
      </c>
      <c r="C615" s="348" t="n">
        <f aca="false">YEAR('LT records'!$B615)</f>
        <v>2019</v>
      </c>
      <c r="D615" s="346" t="str">
        <f aca="false">'LT records'!$C615&amp;"-"&amp;MONTH('LT records'!$B615)</f>
        <v>2019-11</v>
      </c>
      <c r="E615" s="324" t="s">
        <v>14</v>
      </c>
      <c r="F615" s="324" t="str">
        <f aca="false">LEFT('LT records'!$E615,3)</f>
        <v>CSH</v>
      </c>
      <c r="G615" s="354" t="str">
        <f aca="false">IF(OR('LT records'!$F615="MyF", 'LT records'!$F615="DEP"),"DEP",IF('LT records'!$F615="CSH","CSH",IF('LT records'!$F615="BON","BND",IF('LT records'!$F615="Sma","MKT",IF(OR('LT records'!$F615="Val", 'LT records'!$F615="EUR"),"FCY",IF('LT records'!$F615="X-P","PP3",IF('LT records'!$F615="X-m","XAU","???")))))))</f>
        <v>CSH</v>
      </c>
      <c r="H615" s="325" t="n">
        <v>11227</v>
      </c>
      <c r="I615" s="340"/>
      <c r="J615" s="340"/>
      <c r="K615" s="340"/>
      <c r="L615" s="341" t="s">
        <v>56</v>
      </c>
      <c r="M615" s="350" t="str">
        <f aca="false">YEAR('LT records'!$B615)&amp;"-"&amp;MONTH('LT records'!$B615)</f>
        <v>2019-11</v>
      </c>
      <c r="N615" s="343" t="n">
        <f aca="false">'LT records'!$H615+'LT records'!$I615</f>
        <v>11227</v>
      </c>
      <c r="O615" s="326"/>
      <c r="P615" s="324"/>
      <c r="R615" s="327"/>
    </row>
    <row r="616" customFormat="false" ht="12.8" hidden="false" customHeight="false" outlineLevel="0" collapsed="false">
      <c r="B616" s="351" t="n">
        <v>43797</v>
      </c>
      <c r="C616" s="348" t="n">
        <f aca="false">YEAR('LT records'!$B616)</f>
        <v>2019</v>
      </c>
      <c r="D616" s="346" t="str">
        <f aca="false">'LT records'!$C616&amp;"-"&amp;MONTH('LT records'!$B616)</f>
        <v>2019-11</v>
      </c>
      <c r="E616" s="324" t="s">
        <v>444</v>
      </c>
      <c r="F616" s="324" t="str">
        <f aca="false">LEFT('LT records'!$E616,3)</f>
        <v>Val</v>
      </c>
      <c r="G616" s="354" t="str">
        <f aca="false">IF(OR('LT records'!$F616="MyF", 'LT records'!$F616="DEP"),"DEP",IF('LT records'!$F616="CSH","CSH",IF('LT records'!$F616="BON","BND",IF('LT records'!$F616="Sma","MKT",IF(OR('LT records'!$F616="Val", 'LT records'!$F616="EUR"),"FCY",IF('LT records'!$F616="X-P","PP3",IF('LT records'!$F616="X-m","XAU","???")))))))</f>
        <v>FCY</v>
      </c>
      <c r="H616" s="325" t="n">
        <v>0</v>
      </c>
      <c r="I616" s="340"/>
      <c r="J616" s="340"/>
      <c r="K616" s="340" t="n">
        <v>0.3</v>
      </c>
      <c r="L616" s="341" t="s">
        <v>40</v>
      </c>
      <c r="M616" s="350" t="str">
        <f aca="false">YEAR('LT records'!$B616)&amp;"-"&amp;MONTH('LT records'!$B616)</f>
        <v>2019-11</v>
      </c>
      <c r="N616" s="343" t="n">
        <f aca="false">'LT records'!$H616+'LT records'!$I616</f>
        <v>0</v>
      </c>
      <c r="O616" s="326"/>
      <c r="P616" s="324"/>
      <c r="R616" s="327"/>
    </row>
    <row r="617" customFormat="false" ht="12.8" hidden="false" customHeight="false" outlineLevel="0" collapsed="false">
      <c r="B617" s="351" t="n">
        <v>43797</v>
      </c>
      <c r="C617" s="348" t="n">
        <f aca="false">YEAR('LT records'!$B617)</f>
        <v>2019</v>
      </c>
      <c r="D617" s="346" t="str">
        <f aca="false">'LT records'!$C617&amp;"-"&amp;MONTH('LT records'!$B617)</f>
        <v>2019-11</v>
      </c>
      <c r="E617" s="324" t="s">
        <v>14</v>
      </c>
      <c r="F617" s="324" t="str">
        <f aca="false">LEFT('LT records'!$E617,3)</f>
        <v>CSH</v>
      </c>
      <c r="G617" s="354" t="str">
        <f aca="false">IF(OR('LT records'!$F617="MyF", 'LT records'!$F617="DEP"),"DEP",IF('LT records'!$F617="CSH","CSH",IF('LT records'!$F617="BON","BND",IF('LT records'!$F617="Sma","MKT",IF(OR('LT records'!$F617="Val", 'LT records'!$F617="EUR"),"FCY",IF('LT records'!$F617="X-P","PP3",IF('LT records'!$F617="X-m","XAU","???")))))))</f>
        <v>CSH</v>
      </c>
      <c r="H617" s="325" t="n">
        <v>50</v>
      </c>
      <c r="I617" s="340" t="n">
        <v>9.51</v>
      </c>
      <c r="J617" s="340"/>
      <c r="K617" s="340"/>
      <c r="L617" s="341" t="s">
        <v>620</v>
      </c>
      <c r="M617" s="350" t="str">
        <f aca="false">YEAR('LT records'!$B617)&amp;"-"&amp;MONTH('LT records'!$B617)</f>
        <v>2019-11</v>
      </c>
      <c r="N617" s="343" t="n">
        <f aca="false">'LT records'!$H617+'LT records'!$I617</f>
        <v>59.51</v>
      </c>
      <c r="O617" s="326"/>
      <c r="P617" s="324"/>
      <c r="R617" s="327"/>
    </row>
    <row r="618" customFormat="false" ht="12.8" hidden="false" customHeight="false" outlineLevel="0" collapsed="false">
      <c r="B618" s="351" t="n">
        <v>43803</v>
      </c>
      <c r="C618" s="348" t="n">
        <f aca="false">YEAR('LT records'!$B618)</f>
        <v>2019</v>
      </c>
      <c r="D618" s="346" t="str">
        <f aca="false">'LT records'!$C618&amp;"-"&amp;MONTH('LT records'!$B618)</f>
        <v>2019-12</v>
      </c>
      <c r="E618" s="324" t="s">
        <v>536</v>
      </c>
      <c r="F618" s="324" t="str">
        <f aca="false">LEFT('LT records'!$E618,3)</f>
        <v>EUR</v>
      </c>
      <c r="G618" s="354" t="str">
        <f aca="false">IF(OR('LT records'!$F618="MyF", 'LT records'!$F618="DEP"),"DEP",IF('LT records'!$F618="CSH","CSH",IF('LT records'!$F618="BON","BND",IF('LT records'!$F618="Sma","MKT",IF(OR('LT records'!$F618="Val", 'LT records'!$F618="EUR"),"FCY",IF('LT records'!$F618="X-P","PP3",IF('LT records'!$F618="X-m","XAU","???")))))))</f>
        <v>FCY</v>
      </c>
      <c r="H618" s="325" t="n">
        <v>0</v>
      </c>
      <c r="I618" s="340"/>
      <c r="J618" s="340" t="n">
        <v>6.4</v>
      </c>
      <c r="K618" s="340" t="n">
        <v>3.6</v>
      </c>
      <c r="L618" s="341" t="s">
        <v>621</v>
      </c>
      <c r="M618" s="350" t="str">
        <f aca="false">YEAR('LT records'!$B618)&amp;"-"&amp;MONTH('LT records'!$B618)</f>
        <v>2019-12</v>
      </c>
      <c r="N618" s="343" t="n">
        <f aca="false">'LT records'!$H618+'LT records'!$I618</f>
        <v>0</v>
      </c>
      <c r="O618" s="326"/>
      <c r="P618" s="324"/>
      <c r="R618" s="327"/>
    </row>
    <row r="619" customFormat="false" ht="12.8" hidden="false" customHeight="false" outlineLevel="0" collapsed="false">
      <c r="B619" s="351" t="n">
        <v>43803</v>
      </c>
      <c r="C619" s="348" t="n">
        <f aca="false">YEAR('LT records'!$B619)</f>
        <v>2019</v>
      </c>
      <c r="D619" s="346" t="str">
        <f aca="false">'LT records'!$C619&amp;"-"&amp;MONTH('LT records'!$B619)</f>
        <v>2019-12</v>
      </c>
      <c r="E619" s="324" t="s">
        <v>444</v>
      </c>
      <c r="F619" s="324" t="str">
        <f aca="false">LEFT('LT records'!$E619,3)</f>
        <v>Val</v>
      </c>
      <c r="G619" s="354" t="str">
        <f aca="false">IF(OR('LT records'!$F619="MyF", 'LT records'!$F619="DEP"),"DEP",IF('LT records'!$F619="CSH","CSH",IF('LT records'!$F619="BON","BND",IF('LT records'!$F619="Sma","MKT",IF(OR('LT records'!$F619="Val", 'LT records'!$F619="EUR"),"FCY",IF('LT records'!$F619="X-P","PP3",IF('LT records'!$F619="X-m","XAU","???")))))))</f>
        <v>FCY</v>
      </c>
      <c r="H619" s="325" t="n">
        <v>0</v>
      </c>
      <c r="I619" s="340"/>
      <c r="J619" s="340" t="n">
        <v>-6.4</v>
      </c>
      <c r="K619" s="340"/>
      <c r="L619" s="341" t="s">
        <v>622</v>
      </c>
      <c r="M619" s="350" t="str">
        <f aca="false">YEAR('LT records'!$B619)&amp;"-"&amp;MONTH('LT records'!$B619)</f>
        <v>2019-12</v>
      </c>
      <c r="N619" s="343" t="n">
        <f aca="false">'LT records'!$H619+'LT records'!$I619</f>
        <v>0</v>
      </c>
      <c r="O619" s="326"/>
      <c r="P619" s="324"/>
      <c r="R619" s="327"/>
    </row>
    <row r="620" customFormat="false" ht="12.8" hidden="false" customHeight="false" outlineLevel="0" collapsed="false">
      <c r="B620" s="351" t="n">
        <v>43803</v>
      </c>
      <c r="C620" s="348" t="n">
        <f aca="false">YEAR('LT records'!$B620)</f>
        <v>2019</v>
      </c>
      <c r="D620" s="346" t="str">
        <f aca="false">'LT records'!$C620&amp;"-"&amp;MONTH('LT records'!$B620)</f>
        <v>2019-12</v>
      </c>
      <c r="E620" s="324" t="s">
        <v>308</v>
      </c>
      <c r="F620" s="324" t="str">
        <f aca="false">LEFT('LT records'!$E620,3)</f>
        <v>DEP</v>
      </c>
      <c r="G620" s="354" t="str">
        <f aca="false">IF(OR('LT records'!$F620="MyF", 'LT records'!$F620="DEP"),"DEP",IF('LT records'!$F620="CSH","CSH",IF('LT records'!$F620="BON","BND",IF('LT records'!$F620="Sma","MKT",IF(OR('LT records'!$F620="Val", 'LT records'!$F620="EUR"),"FCY",IF('LT records'!$F620="X-P","PP3",IF('LT records'!$F620="X-m","XAU","???")))))))</f>
        <v>DEP</v>
      </c>
      <c r="H620" s="325" t="n">
        <v>4728.31</v>
      </c>
      <c r="I620" s="340" t="n">
        <f aca="false">216.65-21.67</f>
        <v>194.98</v>
      </c>
      <c r="J620" s="340"/>
      <c r="K620" s="340"/>
      <c r="L620" s="341" t="s">
        <v>623</v>
      </c>
      <c r="M620" s="350" t="str">
        <f aca="false">YEAR('LT records'!$B620)&amp;"-"&amp;MONTH('LT records'!$B620)</f>
        <v>2019-12</v>
      </c>
      <c r="N620" s="343" t="n">
        <f aca="false">'LT records'!$H620+'LT records'!$I620</f>
        <v>4923.29</v>
      </c>
      <c r="O620" s="326"/>
      <c r="P620" s="324"/>
      <c r="R620" s="327"/>
    </row>
    <row r="621" customFormat="false" ht="12.8" hidden="false" customHeight="false" outlineLevel="0" collapsed="false">
      <c r="B621" s="351" t="n">
        <v>43803</v>
      </c>
      <c r="C621" s="348" t="n">
        <f aca="false">YEAR('LT records'!$B621)</f>
        <v>2019</v>
      </c>
      <c r="D621" s="346" t="str">
        <f aca="false">'LT records'!$C621&amp;"-"&amp;MONTH('LT records'!$B621)</f>
        <v>2019-12</v>
      </c>
      <c r="E621" s="324" t="s">
        <v>14</v>
      </c>
      <c r="F621" s="324" t="str">
        <f aca="false">LEFT('LT records'!$E621,3)</f>
        <v>CSH</v>
      </c>
      <c r="G621" s="354" t="str">
        <f aca="false">IF(OR('LT records'!$F621="MyF", 'LT records'!$F621="DEP"),"DEP",IF('LT records'!$F621="CSH","CSH",IF('LT records'!$F621="BON","BND",IF('LT records'!$F621="Sma","MKT",IF(OR('LT records'!$F621="Val", 'LT records'!$F621="EUR"),"FCY",IF('LT records'!$F621="X-P","PP3",IF('LT records'!$F621="X-m","XAU","???")))))))</f>
        <v>CSH</v>
      </c>
      <c r="H621" s="325" t="n">
        <v>-4728.31</v>
      </c>
      <c r="I621" s="340"/>
      <c r="J621" s="340"/>
      <c r="K621" s="340"/>
      <c r="L621" s="341" t="s">
        <v>622</v>
      </c>
      <c r="M621" s="350" t="str">
        <f aca="false">YEAR('LT records'!$B621)&amp;"-"&amp;MONTH('LT records'!$B621)</f>
        <v>2019-12</v>
      </c>
      <c r="N621" s="343" t="n">
        <f aca="false">'LT records'!$H621+'LT records'!$I621</f>
        <v>-4728.31</v>
      </c>
      <c r="O621" s="326"/>
      <c r="P621" s="324"/>
      <c r="R621" s="327"/>
    </row>
    <row r="622" customFormat="false" ht="12.8" hidden="false" customHeight="false" outlineLevel="0" collapsed="false">
      <c r="B622" s="351" t="n">
        <v>43804</v>
      </c>
      <c r="C622" s="348" t="n">
        <f aca="false">YEAR('LT records'!$B622)</f>
        <v>2019</v>
      </c>
      <c r="D622" s="346" t="str">
        <f aca="false">'LT records'!$C622&amp;"-"&amp;MONTH('LT records'!$B622)</f>
        <v>2019-12</v>
      </c>
      <c r="E622" s="324" t="s">
        <v>14</v>
      </c>
      <c r="F622" s="324" t="str">
        <f aca="false">LEFT('LT records'!$E622,3)</f>
        <v>CSH</v>
      </c>
      <c r="G622" s="354" t="str">
        <f aca="false">IF(OR('LT records'!$F622="MyF", 'LT records'!$F622="DEP"),"DEP",IF('LT records'!$F622="CSH","CSH",IF('LT records'!$F622="BON","BND",IF('LT records'!$F622="Sma","MKT",IF(OR('LT records'!$F622="Val", 'LT records'!$F622="EUR"),"FCY",IF('LT records'!$F622="X-P","PP3",IF('LT records'!$F622="X-m","XAU","???")))))))</f>
        <v>CSH</v>
      </c>
      <c r="H622" s="325" t="n">
        <f aca="false">7460</f>
        <v>7460</v>
      </c>
      <c r="I622" s="340"/>
      <c r="J622" s="340"/>
      <c r="K622" s="340"/>
      <c r="L622" s="341" t="s">
        <v>56</v>
      </c>
      <c r="M622" s="350" t="str">
        <f aca="false">YEAR('LT records'!$B622)&amp;"-"&amp;MONTH('LT records'!$B622)</f>
        <v>2019-12</v>
      </c>
      <c r="N622" s="343" t="n">
        <f aca="false">'LT records'!$H622+'LT records'!$I622</f>
        <v>7460</v>
      </c>
      <c r="O622" s="326"/>
      <c r="P622" s="324"/>
      <c r="R622" s="327"/>
    </row>
    <row r="623" customFormat="false" ht="12.8" hidden="false" customHeight="false" outlineLevel="0" collapsed="false">
      <c r="B623" s="351" t="n">
        <v>43815</v>
      </c>
      <c r="C623" s="348" t="n">
        <f aca="false">YEAR('LT records'!$B623)</f>
        <v>2019</v>
      </c>
      <c r="D623" s="346" t="str">
        <f aca="false">'LT records'!$C623&amp;"-"&amp;MONTH('LT records'!$B623)</f>
        <v>2019-12</v>
      </c>
      <c r="E623" s="324" t="s">
        <v>444</v>
      </c>
      <c r="F623" s="324" t="str">
        <f aca="false">LEFT('LT records'!$E623,3)</f>
        <v>Val</v>
      </c>
      <c r="G623" s="354" t="str">
        <f aca="false">IF(OR('LT records'!$F623="MyF", 'LT records'!$F623="DEP"),"DEP",IF('LT records'!$F623="CSH","CSH",IF('LT records'!$F623="BON","BND",IF('LT records'!$F623="Sma","MKT",IF(OR('LT records'!$F623="Val", 'LT records'!$F623="EUR"),"FCY",IF('LT records'!$F623="X-P","PP3",IF('LT records'!$F623="X-m","XAU","???")))))))</f>
        <v>FCY</v>
      </c>
      <c r="H623" s="325" t="n">
        <v>289.2</v>
      </c>
      <c r="I623" s="340"/>
      <c r="J623" s="340" t="n">
        <v>60</v>
      </c>
      <c r="K623" s="340"/>
      <c r="L623" s="341" t="s">
        <v>624</v>
      </c>
      <c r="M623" s="350" t="str">
        <f aca="false">YEAR('LT records'!$B623)&amp;"-"&amp;MONTH('LT records'!$B623)</f>
        <v>2019-12</v>
      </c>
      <c r="N623" s="343" t="n">
        <f aca="false">'LT records'!$H623+'LT records'!$I623</f>
        <v>289.2</v>
      </c>
      <c r="O623" s="326"/>
      <c r="P623" s="324"/>
      <c r="R623" s="327"/>
    </row>
    <row r="624" customFormat="false" ht="12.8" hidden="false" customHeight="false" outlineLevel="0" collapsed="false">
      <c r="B624" s="351" t="n">
        <v>43816</v>
      </c>
      <c r="C624" s="348" t="n">
        <f aca="false">YEAR('LT records'!$B624)</f>
        <v>2019</v>
      </c>
      <c r="D624" s="346" t="str">
        <f aca="false">'LT records'!$C624&amp;"-"&amp;MONTH('LT records'!$B624)</f>
        <v>2019-12</v>
      </c>
      <c r="E624" s="324" t="s">
        <v>625</v>
      </c>
      <c r="F624" s="324" t="str">
        <f aca="false">LEFT('LT records'!$E624,3)</f>
        <v>dep</v>
      </c>
      <c r="G624" s="354" t="str">
        <f aca="false">IF(OR('LT records'!$F624="MyF", 'LT records'!$F624="DEP"),"DEP",IF('LT records'!$F624="CSH","CSH",IF('LT records'!$F624="BON","BND",IF('LT records'!$F624="Sma","MKT",IF(OR('LT records'!$F624="Val", 'LT records'!$F624="EUR"),"FCY",IF('LT records'!$F624="X-P","PP3",IF('LT records'!$F624="X-m","XAU","???")))))))</f>
        <v>DEP</v>
      </c>
      <c r="H624" s="325" t="n">
        <v>-5180</v>
      </c>
      <c r="I624" s="340" t="n">
        <v>180</v>
      </c>
      <c r="J624" s="340"/>
      <c r="K624" s="340"/>
      <c r="L624" s="341" t="s">
        <v>626</v>
      </c>
      <c r="M624" s="350" t="str">
        <f aca="false">YEAR('LT records'!$B624)&amp;"-"&amp;MONTH('LT records'!$B624)</f>
        <v>2019-12</v>
      </c>
      <c r="N624" s="343" t="n">
        <f aca="false">'LT records'!$H624+'LT records'!$I624</f>
        <v>-5000</v>
      </c>
      <c r="O624" s="326"/>
      <c r="P624" s="324"/>
      <c r="R624" s="327"/>
    </row>
    <row r="625" customFormat="false" ht="12.8" hidden="false" customHeight="false" outlineLevel="0" collapsed="false">
      <c r="B625" s="351" t="n">
        <v>43816</v>
      </c>
      <c r="C625" s="348" t="n">
        <f aca="false">YEAR('LT records'!$B625)</f>
        <v>2019</v>
      </c>
      <c r="D625" s="346" t="str">
        <f aca="false">'LT records'!$C625&amp;"-"&amp;MONTH('LT records'!$B625)</f>
        <v>2019-12</v>
      </c>
      <c r="E625" s="324" t="s">
        <v>14</v>
      </c>
      <c r="F625" s="324" t="str">
        <f aca="false">LEFT('LT records'!$E625,3)</f>
        <v>CSH</v>
      </c>
      <c r="G625" s="354" t="str">
        <f aca="false">IF(OR('LT records'!$F625="MyF", 'LT records'!$F625="DEP"),"DEP",IF('LT records'!$F625="CSH","CSH",IF('LT records'!$F625="BON","BND",IF('LT records'!$F625="Sma","MKT",IF(OR('LT records'!$F625="Val", 'LT records'!$F625="EUR"),"FCY",IF('LT records'!$F625="X-P","PP3",IF('LT records'!$F625="X-m","XAU","???")))))))</f>
        <v>CSH</v>
      </c>
      <c r="H625" s="325" t="n">
        <v>5180</v>
      </c>
      <c r="I625" s="340"/>
      <c r="J625" s="340"/>
      <c r="K625" s="340"/>
      <c r="L625" s="341" t="s">
        <v>627</v>
      </c>
      <c r="M625" s="350" t="str">
        <f aca="false">YEAR('LT records'!$B625)&amp;"-"&amp;MONTH('LT records'!$B625)</f>
        <v>2019-12</v>
      </c>
      <c r="N625" s="343" t="n">
        <f aca="false">'LT records'!$H625+'LT records'!$I625</f>
        <v>5180</v>
      </c>
      <c r="O625" s="326"/>
      <c r="P625" s="324"/>
      <c r="R625" s="327"/>
    </row>
    <row r="626" customFormat="false" ht="12.8" hidden="false" customHeight="false" outlineLevel="0" collapsed="false">
      <c r="B626" s="351" t="n">
        <v>43819</v>
      </c>
      <c r="C626" s="348" t="n">
        <f aca="false">YEAR('LT records'!$B626)</f>
        <v>2019</v>
      </c>
      <c r="D626" s="346" t="str">
        <f aca="false">'LT records'!$C626&amp;"-"&amp;MONTH('LT records'!$B626)</f>
        <v>2019-12</v>
      </c>
      <c r="E626" s="324" t="s">
        <v>14</v>
      </c>
      <c r="F626" s="324" t="str">
        <f aca="false">LEFT('LT records'!$E626,3)</f>
        <v>CSH</v>
      </c>
      <c r="G626" s="354" t="str">
        <f aca="false">IF(OR('LT records'!$F626="MyF", 'LT records'!$F626="DEP"),"DEP",IF('LT records'!$F626="CSH","CSH",IF('LT records'!$F626="BON","BND",IF('LT records'!$F626="Sma","MKT",IF(OR('LT records'!$F626="Val", 'LT records'!$F626="EUR"),"FCY",IF('LT records'!$F626="X-P","PP3",IF('LT records'!$F626="X-m","XAU","???")))))))</f>
        <v>CSH</v>
      </c>
      <c r="H626" s="325" t="n">
        <f aca="false">-749</f>
        <v>-749</v>
      </c>
      <c r="I626" s="340"/>
      <c r="J626" s="340"/>
      <c r="K626" s="340"/>
      <c r="L626" s="341" t="s">
        <v>628</v>
      </c>
      <c r="M626" s="350" t="str">
        <f aca="false">YEAR('LT records'!$B626)&amp;"-"&amp;MONTH('LT records'!$B626)</f>
        <v>2019-12</v>
      </c>
      <c r="N626" s="343" t="n">
        <f aca="false">'LT records'!$H626+'LT records'!$I626</f>
        <v>-749</v>
      </c>
      <c r="O626" s="326"/>
      <c r="P626" s="324"/>
      <c r="R626" s="327"/>
    </row>
    <row r="627" customFormat="false" ht="12.8" hidden="false" customHeight="false" outlineLevel="0" collapsed="false">
      <c r="B627" s="351" t="n">
        <v>43824</v>
      </c>
      <c r="C627" s="348" t="n">
        <f aca="false">YEAR('LT records'!$B627)</f>
        <v>2019</v>
      </c>
      <c r="D627" s="346" t="str">
        <f aca="false">'LT records'!$C627&amp;"-"&amp;MONTH('LT records'!$B627)</f>
        <v>2019-12</v>
      </c>
      <c r="E627" s="324" t="s">
        <v>423</v>
      </c>
      <c r="F627" s="324" t="str">
        <f aca="false">LEFT('LT records'!$E627,3)</f>
        <v>Sma</v>
      </c>
      <c r="G627" s="354" t="str">
        <f aca="false">IF(OR('LT records'!$F627="MyF", 'LT records'!$F627="DEP"),"DEP",IF('LT records'!$F627="CSH","CSH",IF('LT records'!$F627="BON","BND",IF('LT records'!$F627="Sma","MKT",IF(OR('LT records'!$F627="Val", 'LT records'!$F627="EUR"),"FCY",IF('LT records'!$F627="X-P","PP3",IF('LT records'!$F627="X-m","XAU","???")))))))</f>
        <v>MKT</v>
      </c>
      <c r="H627" s="325" t="n">
        <v>1100</v>
      </c>
      <c r="I627" s="340"/>
      <c r="J627" s="340"/>
      <c r="K627" s="340"/>
      <c r="L627" s="341" t="s">
        <v>460</v>
      </c>
      <c r="M627" s="350" t="str">
        <f aca="false">YEAR('LT records'!$B627)&amp;"-"&amp;MONTH('LT records'!$B627)</f>
        <v>2019-12</v>
      </c>
      <c r="N627" s="343" t="n">
        <f aca="false">'LT records'!$H627+'LT records'!$I627</f>
        <v>1100</v>
      </c>
      <c r="O627" s="326"/>
      <c r="P627" s="324"/>
      <c r="R627" s="327"/>
    </row>
    <row r="628" customFormat="false" ht="12.8" hidden="false" customHeight="false" outlineLevel="0" collapsed="false">
      <c r="B628" s="351" t="n">
        <v>43824</v>
      </c>
      <c r="C628" s="348" t="n">
        <f aca="false">YEAR('LT records'!$B628)</f>
        <v>2019</v>
      </c>
      <c r="D628" s="346" t="str">
        <f aca="false">'LT records'!$C628&amp;"-"&amp;MONTH('LT records'!$B628)</f>
        <v>2019-12</v>
      </c>
      <c r="E628" s="324" t="s">
        <v>318</v>
      </c>
      <c r="F628" s="324" t="str">
        <f aca="false">LEFT('LT records'!$E628,3)</f>
        <v>X-P</v>
      </c>
      <c r="G628" s="354" t="str">
        <f aca="false">IF(OR('LT records'!$F628="MyF", 'LT records'!$F628="DEP"),"DEP",IF('LT records'!$F628="CSH","CSH",IF('LT records'!$F628="BON","BND",IF('LT records'!$F628="Sma","MKT",IF(OR('LT records'!$F628="Val", 'LT records'!$F628="EUR"),"FCY",IF('LT records'!$F628="X-P","PP3",IF('LT records'!$F628="X-m","XAU","???")))))))</f>
        <v>PP3</v>
      </c>
      <c r="H628" s="325" t="n">
        <v>400</v>
      </c>
      <c r="I628" s="340"/>
      <c r="J628" s="340"/>
      <c r="K628" s="340"/>
      <c r="L628" s="341" t="s">
        <v>595</v>
      </c>
      <c r="M628" s="350" t="str">
        <f aca="false">YEAR('LT records'!$B628)&amp;"-"&amp;MONTH('LT records'!$B628)</f>
        <v>2019-12</v>
      </c>
      <c r="N628" s="343" t="n">
        <f aca="false">'LT records'!$H628+'LT records'!$I628</f>
        <v>400</v>
      </c>
      <c r="O628" s="326"/>
      <c r="P628" s="324"/>
      <c r="R628" s="327"/>
    </row>
    <row r="629" customFormat="false" ht="12.8" hidden="false" customHeight="false" outlineLevel="0" collapsed="false">
      <c r="B629" s="351" t="n">
        <v>43827</v>
      </c>
      <c r="C629" s="348" t="n">
        <f aca="false">YEAR('LT records'!$B629)</f>
        <v>2019</v>
      </c>
      <c r="D629" s="346" t="str">
        <f aca="false">'LT records'!$C629&amp;"-"&amp;MONTH('LT records'!$B629)</f>
        <v>2019-12</v>
      </c>
      <c r="E629" s="324" t="s">
        <v>444</v>
      </c>
      <c r="F629" s="324" t="str">
        <f aca="false">LEFT('LT records'!$E629,3)</f>
        <v>Val</v>
      </c>
      <c r="G629" s="354" t="str">
        <f aca="false">IF(OR('LT records'!$F629="MyF", 'LT records'!$F629="DEP"),"DEP",IF('LT records'!$F629="CSH","CSH",IF('LT records'!$F629="BON","BND",IF('LT records'!$F629="Sma","MKT",IF(OR('LT records'!$F629="Val", 'LT records'!$F629="EUR"),"FCY",IF('LT records'!$F629="X-P","PP3",IF('LT records'!$F629="X-m","XAU","???")))))))</f>
        <v>FCY</v>
      </c>
      <c r="H629" s="325" t="n">
        <v>0</v>
      </c>
      <c r="I629" s="340"/>
      <c r="J629" s="340"/>
      <c r="K629" s="340" t="n">
        <v>0.3</v>
      </c>
      <c r="L629" s="341" t="s">
        <v>40</v>
      </c>
      <c r="M629" s="350" t="str">
        <f aca="false">YEAR('LT records'!$B629)&amp;"-"&amp;MONTH('LT records'!$B629)</f>
        <v>2019-12</v>
      </c>
      <c r="N629" s="343" t="n">
        <f aca="false">'LT records'!$H629+'LT records'!$I629</f>
        <v>0</v>
      </c>
      <c r="O629" s="326"/>
      <c r="P629" s="324"/>
      <c r="R629" s="327"/>
    </row>
    <row r="630" customFormat="false" ht="12.8" hidden="false" customHeight="false" outlineLevel="0" collapsed="false">
      <c r="B630" s="351" t="n">
        <v>43827</v>
      </c>
      <c r="C630" s="348" t="n">
        <f aca="false">YEAR('LT records'!$B630)</f>
        <v>2019</v>
      </c>
      <c r="D630" s="346" t="str">
        <f aca="false">'LT records'!$C630&amp;"-"&amp;MONTH('LT records'!$B630)</f>
        <v>2019-12</v>
      </c>
      <c r="E630" s="324" t="s">
        <v>14</v>
      </c>
      <c r="F630" s="324" t="str">
        <f aca="false">LEFT('LT records'!$E630,3)</f>
        <v>CSH</v>
      </c>
      <c r="G630" s="354" t="str">
        <f aca="false">IF(OR('LT records'!$F630="MyF", 'LT records'!$F630="DEP"),"DEP",IF('LT records'!$F630="CSH","CSH",IF('LT records'!$F630="BON","BND",IF('LT records'!$F630="Sma","MKT",IF(OR('LT records'!$F630="Val", 'LT records'!$F630="EUR"),"FCY",IF('LT records'!$F630="X-P","PP3",IF('LT records'!$F630="X-m","XAU","???")))))))</f>
        <v>CSH</v>
      </c>
      <c r="H630" s="325" t="n">
        <v>50</v>
      </c>
      <c r="I630" s="340" t="n">
        <v>15.97</v>
      </c>
      <c r="J630" s="340"/>
      <c r="K630" s="340"/>
      <c r="L630" s="341" t="s">
        <v>629</v>
      </c>
      <c r="M630" s="350" t="str">
        <f aca="false">YEAR('LT records'!$B630)&amp;"-"&amp;MONTH('LT records'!$B630)</f>
        <v>2019-12</v>
      </c>
      <c r="N630" s="343" t="n">
        <f aca="false">'LT records'!$H630+'LT records'!$I630</f>
        <v>65.97</v>
      </c>
      <c r="O630" s="326"/>
      <c r="P630" s="324"/>
      <c r="R630" s="327"/>
    </row>
    <row r="631" customFormat="false" ht="12.8" hidden="false" customHeight="false" outlineLevel="0" collapsed="false">
      <c r="B631" s="351" t="n">
        <v>43830</v>
      </c>
      <c r="C631" s="348" t="n">
        <f aca="false">YEAR('LT records'!$B631)</f>
        <v>2019</v>
      </c>
      <c r="D631" s="346" t="str">
        <f aca="false">'LT records'!$C631&amp;"-"&amp;MONTH('LT records'!$B631)</f>
        <v>2019-12</v>
      </c>
      <c r="E631" s="324" t="s">
        <v>14</v>
      </c>
      <c r="F631" s="324" t="str">
        <f aca="false">LEFT('LT records'!$E631,3)</f>
        <v>CSH</v>
      </c>
      <c r="G631" s="354" t="str">
        <f aca="false">IF(OR('LT records'!$F631="MyF", 'LT records'!$F631="DEP"),"DEP",IF('LT records'!$F631="CSH","CSH",IF('LT records'!$F631="BON","BND",IF('LT records'!$F631="Sma","MKT",IF(OR('LT records'!$F631="Val", 'LT records'!$F631="EUR"),"FCY",IF('LT records'!$F631="X-P","PP3",IF('LT records'!$F631="X-m","XAU","???")))))))</f>
        <v>CSH</v>
      </c>
      <c r="H631" s="325" t="n">
        <v>-8000</v>
      </c>
      <c r="I631" s="340"/>
      <c r="J631" s="340"/>
      <c r="K631" s="340"/>
      <c r="L631" s="341" t="s">
        <v>630</v>
      </c>
      <c r="M631" s="350" t="str">
        <f aca="false">YEAR('LT records'!$B631)&amp;"-"&amp;MONTH('LT records'!$B631)</f>
        <v>2019-12</v>
      </c>
      <c r="N631" s="343" t="n">
        <f aca="false">'LT records'!$H631+'LT records'!$I631</f>
        <v>-8000</v>
      </c>
      <c r="O631" s="326"/>
      <c r="P631" s="324"/>
      <c r="R631" s="327"/>
    </row>
    <row r="632" customFormat="false" ht="12.8" hidden="false" customHeight="false" outlineLevel="0" collapsed="false">
      <c r="B632" s="351" t="n">
        <v>43830</v>
      </c>
      <c r="C632" s="348" t="n">
        <f aca="false">YEAR('LT records'!$B632)</f>
        <v>2019</v>
      </c>
      <c r="D632" s="346" t="str">
        <f aca="false">'LT records'!$C632&amp;"-"&amp;MONTH('LT records'!$B632)</f>
        <v>2019-12</v>
      </c>
      <c r="E632" s="324" t="s">
        <v>625</v>
      </c>
      <c r="F632" s="324" t="str">
        <f aca="false">LEFT('LT records'!$E632,3)</f>
        <v>dep</v>
      </c>
      <c r="G632" s="354" t="str">
        <f aca="false">IF(OR('LT records'!$F632="MyF", 'LT records'!$F632="DEP"),"DEP",IF('LT records'!$F632="CSH","CSH",IF('LT records'!$F632="BON","BND",IF('LT records'!$F632="Sma","MKT",IF(OR('LT records'!$F632="Val", 'LT records'!$F632="EUR"),"FCY",IF('LT records'!$F632="X-P","PP3",IF('LT records'!$F632="X-m","XAU","???")))))))</f>
        <v>DEP</v>
      </c>
      <c r="H632" s="325" t="n">
        <v>8000</v>
      </c>
      <c r="I632" s="340"/>
      <c r="J632" s="340"/>
      <c r="K632" s="340"/>
      <c r="L632" s="341" t="s">
        <v>630</v>
      </c>
      <c r="M632" s="350" t="str">
        <f aca="false">YEAR('LT records'!$B632)&amp;"-"&amp;MONTH('LT records'!$B632)</f>
        <v>2019-12</v>
      </c>
      <c r="N632" s="343" t="n">
        <f aca="false">'LT records'!$H632+'LT records'!$I632</f>
        <v>8000</v>
      </c>
      <c r="O632" s="326"/>
      <c r="P632" s="324"/>
      <c r="R632" s="327"/>
    </row>
    <row r="633" customFormat="false" ht="12.8" hidden="false" customHeight="false" outlineLevel="0" collapsed="false">
      <c r="B633" s="351" t="n">
        <v>43833</v>
      </c>
      <c r="C633" s="348" t="n">
        <f aca="false">YEAR('LT records'!$B633)</f>
        <v>2020</v>
      </c>
      <c r="D633" s="346" t="str">
        <f aca="false">'LT records'!$C633&amp;"-"&amp;MONTH('LT records'!$B633)</f>
        <v>2020-1</v>
      </c>
      <c r="E633" s="324" t="s">
        <v>291</v>
      </c>
      <c r="F633" s="324" t="str">
        <f aca="false">LEFT('LT records'!$E633,3)</f>
        <v>DEP</v>
      </c>
      <c r="G633" s="354" t="str">
        <f aca="false">IF(OR('LT records'!$F633="MyF", 'LT records'!$F633="DEP"),"DEP",IF('LT records'!$F633="CSH","CSH",IF('LT records'!$F633="BON","BND",IF('LT records'!$F633="Sma","MKT",IF(OR('LT records'!$F633="Val", 'LT records'!$F633="EUR"),"FCY",IF('LT records'!$F633="X-P","PP3",IF('LT records'!$F633="X-m","XAU","???")))))))</f>
        <v>DEP</v>
      </c>
      <c r="H633" s="325" t="n">
        <v>0</v>
      </c>
      <c r="I633" s="340" t="n">
        <f aca="false">145.4-14.54</f>
        <v>130.86</v>
      </c>
      <c r="J633" s="340"/>
      <c r="K633" s="340"/>
      <c r="L633" s="341" t="s">
        <v>40</v>
      </c>
      <c r="M633" s="350" t="str">
        <f aca="false">YEAR('LT records'!$B633)&amp;"-"&amp;MONTH('LT records'!$B633)</f>
        <v>2020-1</v>
      </c>
      <c r="N633" s="343" t="n">
        <f aca="false">'LT records'!$H633+'LT records'!$I633</f>
        <v>130.86</v>
      </c>
      <c r="O633" s="326"/>
      <c r="P633" s="324"/>
      <c r="R633" s="327"/>
    </row>
    <row r="634" customFormat="false" ht="12.8" hidden="false" customHeight="false" outlineLevel="0" collapsed="false">
      <c r="B634" s="351" t="n">
        <v>43833</v>
      </c>
      <c r="C634" s="348" t="n">
        <f aca="false">YEAR('LT records'!$B634)</f>
        <v>2020</v>
      </c>
      <c r="D634" s="346" t="str">
        <f aca="false">'LT records'!$C634&amp;"-"&amp;MONTH('LT records'!$B634)</f>
        <v>2020-1</v>
      </c>
      <c r="E634" s="324" t="s">
        <v>444</v>
      </c>
      <c r="F634" s="324" t="str">
        <f aca="false">LEFT('LT records'!$E634,3)</f>
        <v>Val</v>
      </c>
      <c r="G634" s="354" t="str">
        <f aca="false">IF(OR('LT records'!$F634="MyF", 'LT records'!$F634="DEP"),"DEP",IF('LT records'!$F634="CSH","CSH",IF('LT records'!$F634="BON","BND",IF('LT records'!$F634="Sma","MKT",IF(OR('LT records'!$F634="Val", 'LT records'!$F634="EUR"),"FCY",IF('LT records'!$F634="X-P","PP3",IF('LT records'!$F634="X-m","XAU","???")))))))</f>
        <v>FCY</v>
      </c>
      <c r="H634" s="325" t="n">
        <v>0</v>
      </c>
      <c r="I634" s="340"/>
      <c r="J634" s="340" t="n">
        <v>-428.18</v>
      </c>
      <c r="K634" s="340"/>
      <c r="L634" s="341" t="s">
        <v>631</v>
      </c>
      <c r="M634" s="350" t="str">
        <f aca="false">YEAR('LT records'!$B634)&amp;"-"&amp;MONTH('LT records'!$B634)</f>
        <v>2020-1</v>
      </c>
      <c r="N634" s="343" t="n">
        <f aca="false">'LT records'!$H634+'LT records'!$I634</f>
        <v>0</v>
      </c>
      <c r="O634" s="326"/>
      <c r="P634" s="324"/>
      <c r="R634" s="327"/>
    </row>
    <row r="635" customFormat="false" ht="12.8" hidden="false" customHeight="false" outlineLevel="0" collapsed="false">
      <c r="B635" s="351" t="n">
        <v>43833</v>
      </c>
      <c r="C635" s="348" t="n">
        <f aca="false">YEAR('LT records'!$B635)</f>
        <v>2020</v>
      </c>
      <c r="D635" s="346" t="str">
        <f aca="false">'LT records'!$C635&amp;"-"&amp;MONTH('LT records'!$B635)</f>
        <v>2020-1</v>
      </c>
      <c r="E635" s="324" t="s">
        <v>549</v>
      </c>
      <c r="F635" s="324" t="str">
        <f aca="false">LEFT('LT records'!$E635,3)</f>
        <v>EUR</v>
      </c>
      <c r="G635" s="354" t="str">
        <f aca="false">IF(OR('LT records'!$F635="MyF", 'LT records'!$F635="DEP"),"DEP",IF('LT records'!$F635="CSH","CSH",IF('LT records'!$F635="BON","BND",IF('LT records'!$F635="Sma","MKT",IF(OR('LT records'!$F635="Val", 'LT records'!$F635="EUR"),"FCY",IF('LT records'!$F635="X-P","PP3",IF('LT records'!$F635="X-m","XAU","???")))))))</f>
        <v>FCY</v>
      </c>
      <c r="H635" s="325" t="n">
        <v>0</v>
      </c>
      <c r="I635" s="340"/>
      <c r="J635" s="340" t="n">
        <v>428.18</v>
      </c>
      <c r="K635" s="340" t="n">
        <v>1.82</v>
      </c>
      <c r="L635" s="341" t="s">
        <v>632</v>
      </c>
      <c r="M635" s="350" t="str">
        <f aca="false">YEAR('LT records'!$B635)&amp;"-"&amp;MONTH('LT records'!$B635)</f>
        <v>2020-1</v>
      </c>
      <c r="N635" s="343" t="n">
        <f aca="false">'LT records'!$H635+'LT records'!$I635</f>
        <v>0</v>
      </c>
      <c r="O635" s="326"/>
      <c r="P635" s="324"/>
      <c r="R635" s="327"/>
    </row>
    <row r="636" customFormat="false" ht="12.8" hidden="false" customHeight="false" outlineLevel="0" collapsed="false">
      <c r="B636" s="351" t="n">
        <v>43836</v>
      </c>
      <c r="C636" s="348" t="n">
        <f aca="false">YEAR('LT records'!$B636)</f>
        <v>2020</v>
      </c>
      <c r="D636" s="346" t="str">
        <f aca="false">'LT records'!$C636&amp;"-"&amp;MONTH('LT records'!$B636)</f>
        <v>2020-1</v>
      </c>
      <c r="E636" s="324" t="s">
        <v>14</v>
      </c>
      <c r="F636" s="324" t="str">
        <f aca="false">LEFT('LT records'!$E636,3)</f>
        <v>CSH</v>
      </c>
      <c r="G636" s="354" t="str">
        <f aca="false">IF(OR('LT records'!$F636="MyF", 'LT records'!$F636="DEP"),"DEP",IF('LT records'!$F636="CSH","CSH",IF('LT records'!$F636="BON","BND",IF('LT records'!$F636="Sma","MKT",IF(OR('LT records'!$F636="Val", 'LT records'!$F636="EUR"),"FCY",IF('LT records'!$F636="X-P","PP3",IF('LT records'!$F636="X-m","XAU","???")))))))</f>
        <v>CSH</v>
      </c>
      <c r="H636" s="325" t="n">
        <v>-110</v>
      </c>
      <c r="I636" s="340"/>
      <c r="J636" s="340"/>
      <c r="K636" s="340"/>
      <c r="L636" s="341" t="s">
        <v>633</v>
      </c>
      <c r="M636" s="350" t="str">
        <f aca="false">YEAR('LT records'!$B636)&amp;"-"&amp;MONTH('LT records'!$B636)</f>
        <v>2020-1</v>
      </c>
      <c r="N636" s="343" t="n">
        <f aca="false">'LT records'!$H636+'LT records'!$I636</f>
        <v>-110</v>
      </c>
      <c r="O636" s="326"/>
      <c r="P636" s="324"/>
      <c r="R636" s="327"/>
    </row>
    <row r="637" customFormat="false" ht="12.8" hidden="false" customHeight="false" outlineLevel="0" collapsed="false">
      <c r="B637" s="351" t="n">
        <v>43838</v>
      </c>
      <c r="C637" s="348" t="n">
        <f aca="false">YEAR('LT records'!$B637)</f>
        <v>2020</v>
      </c>
      <c r="D637" s="346" t="str">
        <f aca="false">'LT records'!$C637&amp;"-"&amp;MONTH('LT records'!$B637)</f>
        <v>2020-1</v>
      </c>
      <c r="E637" s="324" t="s">
        <v>14</v>
      </c>
      <c r="F637" s="324" t="str">
        <f aca="false">LEFT('LT records'!$E637,3)</f>
        <v>CSH</v>
      </c>
      <c r="G637" s="354" t="str">
        <f aca="false">IF(OR('LT records'!$F637="MyF", 'LT records'!$F637="DEP"),"DEP",IF('LT records'!$F637="CSH","CSH",IF('LT records'!$F637="BON","BND",IF('LT records'!$F637="Sma","MKT",IF(OR('LT records'!$F637="Val", 'LT records'!$F637="EUR"),"FCY",IF('LT records'!$F637="X-P","PP3",IF('LT records'!$F637="X-m","XAU","???")))))))</f>
        <v>CSH</v>
      </c>
      <c r="H637" s="325" t="n">
        <f aca="false">14433-150+35-150-16+64-200+12-200+51-200+25-250+92-200+39-150+40-200+97-250+60-200+28-800+108-400+199-200+40-200-3000+22-200+2-200+26+299.99-10995-10</f>
        <v>-2498.01</v>
      </c>
      <c r="I637" s="340"/>
      <c r="J637" s="340"/>
      <c r="K637" s="340"/>
      <c r="L637" s="341" t="s">
        <v>634</v>
      </c>
      <c r="M637" s="350" t="str">
        <f aca="false">YEAR('LT records'!$B637)&amp;"-"&amp;MONTH('LT records'!$B637)</f>
        <v>2020-1</v>
      </c>
      <c r="N637" s="343" t="n">
        <f aca="false">'LT records'!$H637+'LT records'!$I637</f>
        <v>-2498.01</v>
      </c>
      <c r="O637" s="326"/>
      <c r="P637" s="324"/>
      <c r="R637" s="327"/>
    </row>
    <row r="638" customFormat="false" ht="12.8" hidden="false" customHeight="false" outlineLevel="0" collapsed="false">
      <c r="B638" s="351" t="n">
        <v>43850</v>
      </c>
      <c r="C638" s="348" t="n">
        <f aca="false">YEAR('LT records'!$B638)</f>
        <v>2020</v>
      </c>
      <c r="D638" s="346" t="str">
        <f aca="false">'LT records'!$C638&amp;"-"&amp;MONTH('LT records'!$B638)</f>
        <v>2020-1</v>
      </c>
      <c r="E638" s="324" t="s">
        <v>14</v>
      </c>
      <c r="F638" s="324" t="str">
        <f aca="false">LEFT('LT records'!$E638,3)</f>
        <v>CSH</v>
      </c>
      <c r="G638" s="354" t="str">
        <f aca="false">IF(OR('LT records'!$F638="MyF", 'LT records'!$F638="DEP"),"DEP",IF('LT records'!$F638="CSH","CSH",IF('LT records'!$F638="BON","BND",IF('LT records'!$F638="Sma","MKT",IF(OR('LT records'!$F638="Val", 'LT records'!$F638="EUR"),"FCY",IF('LT records'!$F638="X-P","PP3",IF('LT records'!$F638="X-m","XAU","???")))))))</f>
        <v>CSH</v>
      </c>
      <c r="H638" s="325" t="n">
        <v>-299.99</v>
      </c>
      <c r="I638" s="340"/>
      <c r="J638" s="340"/>
      <c r="K638" s="340"/>
      <c r="L638" s="341" t="s">
        <v>474</v>
      </c>
      <c r="M638" s="350" t="str">
        <f aca="false">YEAR('LT records'!$B638)&amp;"-"&amp;MONTH('LT records'!$B638)</f>
        <v>2020-1</v>
      </c>
      <c r="N638" s="343" t="n">
        <f aca="false">'LT records'!$H638+'LT records'!$I638</f>
        <v>-299.99</v>
      </c>
      <c r="O638" s="326"/>
      <c r="P638" s="324"/>
      <c r="R638" s="327"/>
    </row>
    <row r="639" customFormat="false" ht="12.8" hidden="false" customHeight="false" outlineLevel="0" collapsed="false">
      <c r="B639" s="351" t="n">
        <v>43850</v>
      </c>
      <c r="C639" s="348" t="n">
        <f aca="false">YEAR('LT records'!$B639)</f>
        <v>2020</v>
      </c>
      <c r="D639" s="346" t="str">
        <f aca="false">'LT records'!$C639&amp;"-"&amp;MONTH('LT records'!$B639)</f>
        <v>2020-1</v>
      </c>
      <c r="E639" s="324" t="s">
        <v>444</v>
      </c>
      <c r="F639" s="324" t="str">
        <f aca="false">LEFT('LT records'!$E639,3)</f>
        <v>Val</v>
      </c>
      <c r="G639" s="354" t="str">
        <f aca="false">IF(OR('LT records'!$F639="MyF", 'LT records'!$F639="DEP"),"DEP",IF('LT records'!$F639="CSH","CSH",IF('LT records'!$F639="BON","BND",IF('LT records'!$F639="Sma","MKT",IF(OR('LT records'!$F639="Val", 'LT records'!$F639="EUR"),"FCY",IF('LT records'!$F639="X-P","PP3",IF('LT records'!$F639="X-m","XAU","???")))))))</f>
        <v>FCY</v>
      </c>
      <c r="H639" s="325" t="n">
        <v>299.99</v>
      </c>
      <c r="I639" s="340"/>
      <c r="J639" s="340" t="n">
        <v>62.43</v>
      </c>
      <c r="K639" s="340"/>
      <c r="L639" s="341" t="s">
        <v>635</v>
      </c>
      <c r="M639" s="350" t="str">
        <f aca="false">YEAR('LT records'!$B639)&amp;"-"&amp;MONTH('LT records'!$B639)</f>
        <v>2020-1</v>
      </c>
      <c r="N639" s="343" t="n">
        <f aca="false">'LT records'!$H639+'LT records'!$I639</f>
        <v>299.99</v>
      </c>
      <c r="O639" s="326"/>
      <c r="P639" s="324"/>
      <c r="R639" s="327"/>
    </row>
    <row r="640" customFormat="false" ht="12.8" hidden="false" customHeight="false" outlineLevel="0" collapsed="false">
      <c r="B640" s="351" t="n">
        <v>43855</v>
      </c>
      <c r="C640" s="348" t="n">
        <f aca="false">YEAR('LT records'!$B640)</f>
        <v>2020</v>
      </c>
      <c r="D640" s="346" t="str">
        <f aca="false">'LT records'!$C640&amp;"-"&amp;MONTH('LT records'!$B640)</f>
        <v>2020-1</v>
      </c>
      <c r="E640" s="324" t="s">
        <v>423</v>
      </c>
      <c r="F640" s="324" t="str">
        <f aca="false">LEFT('LT records'!$E640,3)</f>
        <v>Sma</v>
      </c>
      <c r="G640" s="354" t="str">
        <f aca="false">IF(OR('LT records'!$F640="MyF", 'LT records'!$F640="DEP"),"DEP",IF('LT records'!$F640="CSH","CSH",IF('LT records'!$F640="BON","BND",IF('LT records'!$F640="Sma","MKT",IF(OR('LT records'!$F640="Val", 'LT records'!$F640="EUR"),"FCY",IF('LT records'!$F640="X-P","PP3",IF('LT records'!$F640="X-m","XAU","???")))))))</f>
        <v>MKT</v>
      </c>
      <c r="H640" s="325" t="n">
        <v>1100</v>
      </c>
      <c r="I640" s="340"/>
      <c r="J640" s="340"/>
      <c r="K640" s="340"/>
      <c r="L640" s="341" t="s">
        <v>460</v>
      </c>
      <c r="M640" s="350" t="str">
        <f aca="false">YEAR('LT records'!$B640)&amp;"-"&amp;MONTH('LT records'!$B640)</f>
        <v>2020-1</v>
      </c>
      <c r="N640" s="343" t="n">
        <f aca="false">'LT records'!$H640+'LT records'!$I640</f>
        <v>1100</v>
      </c>
      <c r="O640" s="326"/>
      <c r="P640" s="324"/>
      <c r="R640" s="327"/>
    </row>
    <row r="641" customFormat="false" ht="12.8" hidden="false" customHeight="false" outlineLevel="0" collapsed="false">
      <c r="B641" s="351" t="n">
        <v>43855</v>
      </c>
      <c r="C641" s="348" t="n">
        <f aca="false">YEAR('LT records'!$B641)</f>
        <v>2020</v>
      </c>
      <c r="D641" s="346" t="str">
        <f aca="false">'LT records'!$C641&amp;"-"&amp;MONTH('LT records'!$B641)</f>
        <v>2020-1</v>
      </c>
      <c r="E641" s="324" t="s">
        <v>318</v>
      </c>
      <c r="F641" s="324" t="str">
        <f aca="false">LEFT('LT records'!$E641,3)</f>
        <v>X-P</v>
      </c>
      <c r="G641" s="354" t="str">
        <f aca="false">IF(OR('LT records'!$F641="MyF", 'LT records'!$F641="DEP"),"DEP",IF('LT records'!$F641="CSH","CSH",IF('LT records'!$F641="BON","BND",IF('LT records'!$F641="Sma","MKT",IF(OR('LT records'!$F641="Val", 'LT records'!$F641="EUR"),"FCY",IF('LT records'!$F641="X-P","PP3",IF('LT records'!$F641="X-m","XAU","???")))))))</f>
        <v>PP3</v>
      </c>
      <c r="H641" s="325" t="n">
        <v>400</v>
      </c>
      <c r="I641" s="340"/>
      <c r="J641" s="340"/>
      <c r="K641" s="340"/>
      <c r="L641" s="341" t="s">
        <v>595</v>
      </c>
      <c r="M641" s="350" t="str">
        <f aca="false">YEAR('LT records'!$B641)&amp;"-"&amp;MONTH('LT records'!$B641)</f>
        <v>2020-1</v>
      </c>
      <c r="N641" s="343" t="n">
        <f aca="false">'LT records'!$H641+'LT records'!$I641</f>
        <v>400</v>
      </c>
      <c r="O641" s="326"/>
      <c r="P641" s="324"/>
      <c r="R641" s="327"/>
    </row>
    <row r="642" customFormat="false" ht="12.8" hidden="false" customHeight="false" outlineLevel="0" collapsed="false">
      <c r="B642" s="351" t="n">
        <v>43858</v>
      </c>
      <c r="C642" s="348" t="n">
        <f aca="false">YEAR('LT records'!$B642)</f>
        <v>2020</v>
      </c>
      <c r="D642" s="346" t="str">
        <f aca="false">'LT records'!$C642&amp;"-"&amp;MONTH('LT records'!$B642)</f>
        <v>2020-1</v>
      </c>
      <c r="E642" s="324" t="s">
        <v>14</v>
      </c>
      <c r="F642" s="324" t="str">
        <f aca="false">LEFT('LT records'!$E642,3)</f>
        <v>CSH</v>
      </c>
      <c r="G642" s="354" t="str">
        <f aca="false">IF(OR('LT records'!$F642="MyF", 'LT records'!$F642="DEP"),"DEP",IF('LT records'!$F642="CSH","CSH",IF('LT records'!$F642="BON","BND",IF('LT records'!$F642="Sma","MKT",IF(OR('LT records'!$F642="Val", 'LT records'!$F642="EUR"),"FCY",IF('LT records'!$F642="X-P","PP3",IF('LT records'!$F642="X-m","XAU","???")))))))</f>
        <v>CSH</v>
      </c>
      <c r="H642" s="325" t="n">
        <v>50</v>
      </c>
      <c r="I642" s="340" t="n">
        <v>19.59</v>
      </c>
      <c r="J642" s="340"/>
      <c r="K642" s="340"/>
      <c r="L642" s="341" t="s">
        <v>629</v>
      </c>
      <c r="M642" s="350" t="str">
        <f aca="false">YEAR('LT records'!$B642)&amp;"-"&amp;MONTH('LT records'!$B642)</f>
        <v>2020-1</v>
      </c>
      <c r="N642" s="343" t="n">
        <f aca="false">'LT records'!$H642+'LT records'!$I642</f>
        <v>69.59</v>
      </c>
      <c r="O642" s="326"/>
      <c r="P642" s="324"/>
      <c r="R642" s="327"/>
    </row>
    <row r="643" customFormat="false" ht="12.8" hidden="false" customHeight="false" outlineLevel="0" collapsed="false">
      <c r="B643" s="351" t="n">
        <v>43858</v>
      </c>
      <c r="C643" s="348" t="n">
        <f aca="false">YEAR('LT records'!$B643)</f>
        <v>2020</v>
      </c>
      <c r="D643" s="346" t="str">
        <f aca="false">'LT records'!$C643&amp;"-"&amp;MONTH('LT records'!$B643)</f>
        <v>2020-1</v>
      </c>
      <c r="E643" s="324" t="s">
        <v>444</v>
      </c>
      <c r="F643" s="324" t="str">
        <f aca="false">LEFT('LT records'!$E643,3)</f>
        <v>Val</v>
      </c>
      <c r="G643" s="354" t="str">
        <f aca="false">IF(OR('LT records'!$F643="MyF", 'LT records'!$F643="DEP"),"DEP",IF('LT records'!$F643="CSH","CSH",IF('LT records'!$F643="BON","BND",IF('LT records'!$F643="Sma","MKT",IF(OR('LT records'!$F643="Val", 'LT records'!$F643="EUR"),"FCY",IF('LT records'!$F643="X-P","PP3",IF('LT records'!$F643="X-m","XAU","???")))))))</f>
        <v>FCY</v>
      </c>
      <c r="H643" s="325" t="n">
        <v>0</v>
      </c>
      <c r="I643" s="340"/>
      <c r="J643" s="340"/>
      <c r="K643" s="340" t="n">
        <v>0.24</v>
      </c>
      <c r="L643" s="341" t="s">
        <v>40</v>
      </c>
      <c r="M643" s="350" t="str">
        <f aca="false">YEAR('LT records'!$B643)&amp;"-"&amp;MONTH('LT records'!$B643)</f>
        <v>2020-1</v>
      </c>
      <c r="N643" s="343" t="n">
        <f aca="false">'LT records'!$H643+'LT records'!$I643</f>
        <v>0</v>
      </c>
      <c r="O643" s="326"/>
      <c r="P643" s="324"/>
      <c r="R643" s="327"/>
    </row>
    <row r="644" customFormat="false" ht="12.8" hidden="false" customHeight="false" outlineLevel="0" collapsed="false">
      <c r="B644" s="351" t="n">
        <v>43858</v>
      </c>
      <c r="C644" s="348" t="n">
        <f aca="false">YEAR('LT records'!$B644)</f>
        <v>2020</v>
      </c>
      <c r="D644" s="346" t="str">
        <f aca="false">'LT records'!$C644&amp;"-"&amp;MONTH('LT records'!$B644)</f>
        <v>2020-1</v>
      </c>
      <c r="E644" s="324" t="s">
        <v>636</v>
      </c>
      <c r="F644" s="324" t="str">
        <f aca="false">LEFT('LT records'!$E644,3)</f>
        <v>dep</v>
      </c>
      <c r="G644" s="354" t="str">
        <f aca="false">IF(OR('LT records'!$F644="MyF", 'LT records'!$F644="DEP"),"DEP",IF('LT records'!$F644="CSH","CSH",IF('LT records'!$F644="BON","BND",IF('LT records'!$F644="Sma","MKT",IF(OR('LT records'!$F644="Val", 'LT records'!$F644="EUR"),"FCY",IF('LT records'!$F644="X-P","PP3",IF('LT records'!$F644="X-m","XAU","???")))))))</f>
        <v>DEP</v>
      </c>
      <c r="H644" s="325" t="n">
        <v>10000</v>
      </c>
      <c r="I644" s="340"/>
      <c r="J644" s="340"/>
      <c r="K644" s="340"/>
      <c r="L644" s="341" t="s">
        <v>637</v>
      </c>
      <c r="M644" s="350" t="str">
        <f aca="false">YEAR('LT records'!$B644)&amp;"-"&amp;MONTH('LT records'!$B644)</f>
        <v>2020-1</v>
      </c>
      <c r="N644" s="343" t="n">
        <f aca="false">'LT records'!$H644+'LT records'!$I644</f>
        <v>10000</v>
      </c>
      <c r="O644" s="326"/>
      <c r="P644" s="324"/>
      <c r="R644" s="327"/>
    </row>
    <row r="645" customFormat="false" ht="12.8" hidden="false" customHeight="false" outlineLevel="0" collapsed="false">
      <c r="B645" s="351" t="n">
        <v>43864</v>
      </c>
      <c r="C645" s="348" t="n">
        <f aca="false">YEAR('LT records'!$B645)</f>
        <v>2020</v>
      </c>
      <c r="D645" s="346" t="str">
        <f aca="false">'LT records'!$C645&amp;"-"&amp;MONTH('LT records'!$B645)</f>
        <v>2020-2</v>
      </c>
      <c r="E645" s="324" t="s">
        <v>294</v>
      </c>
      <c r="F645" s="324" t="str">
        <f aca="false">LEFT('LT records'!$E645,3)</f>
        <v>DEP</v>
      </c>
      <c r="G645" s="354" t="str">
        <f aca="false">IF(OR('LT records'!$F645="MyF", 'LT records'!$F645="DEP"),"DEP",IF('LT records'!$F645="CSH","CSH",IF('LT records'!$F645="BON","BND",IF('LT records'!$F645="Sma","MKT",IF(OR('LT records'!$F645="Val", 'LT records'!$F645="EUR"),"FCY",IF('LT records'!$F645="X-P","PP3",IF('LT records'!$F645="X-m","XAU","???")))))))</f>
        <v>DEP</v>
      </c>
      <c r="H645" s="325" t="n">
        <v>4486.4</v>
      </c>
      <c r="I645" s="340" t="n">
        <f aca="false">222.89-22.29</f>
        <v>200.6</v>
      </c>
      <c r="J645" s="340"/>
      <c r="K645" s="340"/>
      <c r="L645" s="341" t="s">
        <v>638</v>
      </c>
      <c r="M645" s="350" t="str">
        <f aca="false">YEAR('LT records'!$B645)&amp;"-"&amp;MONTH('LT records'!$B645)</f>
        <v>2020-2</v>
      </c>
      <c r="N645" s="343" t="n">
        <f aca="false">'LT records'!$H645+'LT records'!$I645</f>
        <v>4687</v>
      </c>
      <c r="O645" s="326"/>
      <c r="P645" s="324"/>
      <c r="R645" s="327"/>
    </row>
    <row r="646" customFormat="false" ht="12.8" hidden="false" customHeight="false" outlineLevel="0" collapsed="false">
      <c r="B646" s="351" t="n">
        <v>43864</v>
      </c>
      <c r="C646" s="348" t="n">
        <f aca="false">YEAR('LT records'!$B646)</f>
        <v>2020</v>
      </c>
      <c r="D646" s="346" t="str">
        <f aca="false">'LT records'!$C646&amp;"-"&amp;MONTH('LT records'!$B646)</f>
        <v>2020-2</v>
      </c>
      <c r="E646" s="324" t="s">
        <v>14</v>
      </c>
      <c r="F646" s="324" t="str">
        <f aca="false">LEFT('LT records'!$E646,3)</f>
        <v>CSH</v>
      </c>
      <c r="G646" s="354" t="str">
        <f aca="false">IF(OR('LT records'!$F646="MyF", 'LT records'!$F646="DEP"),"DEP",IF('LT records'!$F646="CSH","CSH",IF('LT records'!$F646="BON","BND",IF('LT records'!$F646="Sma","MKT",IF(OR('LT records'!$F646="Val", 'LT records'!$F646="EUR"),"FCY",IF('LT records'!$F646="X-P","PP3",IF('LT records'!$F646="X-m","XAU","???")))))))</f>
        <v>CSH</v>
      </c>
      <c r="H646" s="325" t="n">
        <v>-4486.4</v>
      </c>
      <c r="I646" s="340"/>
      <c r="J646" s="340"/>
      <c r="K646" s="340"/>
      <c r="L646" s="341" t="s">
        <v>639</v>
      </c>
      <c r="M646" s="350" t="str">
        <f aca="false">YEAR('LT records'!$B646)&amp;"-"&amp;MONTH('LT records'!$B646)</f>
        <v>2020-2</v>
      </c>
      <c r="N646" s="343" t="n">
        <f aca="false">'LT records'!$H646+'LT records'!$I646</f>
        <v>-4486.4</v>
      </c>
      <c r="O646" s="326"/>
      <c r="P646" s="324"/>
      <c r="R646" s="327"/>
    </row>
    <row r="647" customFormat="false" ht="12.8" hidden="false" customHeight="false" outlineLevel="0" collapsed="false">
      <c r="B647" s="351" t="n">
        <v>43864</v>
      </c>
      <c r="C647" s="348" t="n">
        <f aca="false">YEAR('LT records'!$B647)</f>
        <v>2020</v>
      </c>
      <c r="D647" s="346" t="str">
        <f aca="false">'LT records'!$C647&amp;"-"&amp;MONTH('LT records'!$B647)</f>
        <v>2020-2</v>
      </c>
      <c r="E647" s="324" t="s">
        <v>555</v>
      </c>
      <c r="F647" s="324" t="str">
        <f aca="false">LEFT('LT records'!$E647,3)</f>
        <v>EUR</v>
      </c>
      <c r="G647" s="354" t="str">
        <f aca="false">IF(OR('LT records'!$F647="MyF", 'LT records'!$F647="DEP"),"DEP",IF('LT records'!$F647="CSH","CSH",IF('LT records'!$F647="BON","BND",IF('LT records'!$F647="Sma","MKT",IF(OR('LT records'!$F647="Val", 'LT records'!$F647="EUR"),"FCY",IF('LT records'!$F647="X-P","PP3",IF('LT records'!$F647="X-m","XAU","???")))))))</f>
        <v>FCY</v>
      </c>
      <c r="H647" s="325" t="n">
        <v>0</v>
      </c>
      <c r="I647" s="340"/>
      <c r="J647" s="340" t="n">
        <v>418.12</v>
      </c>
      <c r="K647" s="340" t="n">
        <f aca="false">2.09-0.21</f>
        <v>1.88</v>
      </c>
      <c r="L647" s="341" t="s">
        <v>632</v>
      </c>
      <c r="M647" s="350" t="str">
        <f aca="false">YEAR('LT records'!$B647)&amp;"-"&amp;MONTH('LT records'!$B647)</f>
        <v>2020-2</v>
      </c>
      <c r="N647" s="343" t="n">
        <f aca="false">'LT records'!$H647+'LT records'!$I647</f>
        <v>0</v>
      </c>
      <c r="O647" s="326"/>
      <c r="P647" s="324"/>
      <c r="R647" s="327"/>
    </row>
    <row r="648" customFormat="false" ht="12.8" hidden="false" customHeight="false" outlineLevel="0" collapsed="false">
      <c r="B648" s="351" t="n">
        <v>43864</v>
      </c>
      <c r="C648" s="348" t="n">
        <f aca="false">YEAR('LT records'!$B648)</f>
        <v>2020</v>
      </c>
      <c r="D648" s="346" t="str">
        <f aca="false">'LT records'!$C648&amp;"-"&amp;MONTH('LT records'!$B648)</f>
        <v>2020-2</v>
      </c>
      <c r="E648" s="324" t="s">
        <v>444</v>
      </c>
      <c r="F648" s="324" t="str">
        <f aca="false">LEFT('LT records'!$E648,3)</f>
        <v>Val</v>
      </c>
      <c r="G648" s="354" t="str">
        <f aca="false">IF(OR('LT records'!$F648="MyF", 'LT records'!$F648="DEP"),"DEP",IF('LT records'!$F648="CSH","CSH",IF('LT records'!$F648="BON","BND",IF('LT records'!$F648="Sma","MKT",IF(OR('LT records'!$F648="Val", 'LT records'!$F648="EUR"),"FCY",IF('LT records'!$F648="X-P","PP3",IF('LT records'!$F648="X-m","XAU","???")))))))</f>
        <v>FCY</v>
      </c>
      <c r="H648" s="325" t="n">
        <v>0</v>
      </c>
      <c r="I648" s="340"/>
      <c r="J648" s="340" t="n">
        <v>-418.12</v>
      </c>
      <c r="K648" s="340"/>
      <c r="L648" s="341" t="s">
        <v>640</v>
      </c>
      <c r="M648" s="350" t="str">
        <f aca="false">YEAR('LT records'!$B648)&amp;"-"&amp;MONTH('LT records'!$B648)</f>
        <v>2020-2</v>
      </c>
      <c r="N648" s="343" t="n">
        <f aca="false">'LT records'!$H648+'LT records'!$I648</f>
        <v>0</v>
      </c>
      <c r="O648" s="326"/>
      <c r="P648" s="324"/>
      <c r="R648" s="327"/>
    </row>
    <row r="649" customFormat="false" ht="12.8" hidden="false" customHeight="false" outlineLevel="0" collapsed="false">
      <c r="B649" s="351" t="n">
        <v>43868</v>
      </c>
      <c r="C649" s="348" t="n">
        <f aca="false">YEAR('LT records'!$B649)</f>
        <v>2020</v>
      </c>
      <c r="D649" s="346" t="str">
        <f aca="false">'LT records'!$C649&amp;"-"&amp;MONTH('LT records'!$B649)</f>
        <v>2020-2</v>
      </c>
      <c r="E649" s="324" t="s">
        <v>14</v>
      </c>
      <c r="F649" s="324" t="str">
        <f aca="false">LEFT('LT records'!$E649,3)</f>
        <v>CSH</v>
      </c>
      <c r="G649" s="354" t="str">
        <f aca="false">IF(OR('LT records'!$F649="MyF", 'LT records'!$F649="DEP"),"DEP",IF('LT records'!$F649="CSH","CSH",IF('LT records'!$F649="BON","BND",IF('LT records'!$F649="Sma","MKT",IF(OR('LT records'!$F649="Val", 'LT records'!$F649="EUR"),"FCY",IF('LT records'!$F649="X-P","PP3",IF('LT records'!$F649="X-m","XAU","???")))))))</f>
        <v>CSH</v>
      </c>
      <c r="H649" s="325" t="n">
        <f aca="false">6252</f>
        <v>6252</v>
      </c>
      <c r="I649" s="340"/>
      <c r="J649" s="340"/>
      <c r="K649" s="340"/>
      <c r="L649" s="341" t="s">
        <v>641</v>
      </c>
      <c r="M649" s="350" t="str">
        <f aca="false">YEAR('LT records'!$B649)&amp;"-"&amp;MONTH('LT records'!$B649)</f>
        <v>2020-2</v>
      </c>
      <c r="N649" s="343" t="n">
        <f aca="false">'LT records'!$H649+'LT records'!$I649</f>
        <v>6252</v>
      </c>
      <c r="O649" s="326"/>
      <c r="P649" s="324"/>
      <c r="R649" s="327"/>
    </row>
    <row r="650" customFormat="false" ht="12.8" hidden="false" customHeight="false" outlineLevel="0" collapsed="false">
      <c r="B650" s="351" t="n">
        <v>43879</v>
      </c>
      <c r="C650" s="348" t="n">
        <f aca="false">YEAR('LT records'!$B650)</f>
        <v>2020</v>
      </c>
      <c r="D650" s="346" t="str">
        <f aca="false">'LT records'!$C650&amp;"-"&amp;MONTH('LT records'!$B650)</f>
        <v>2020-2</v>
      </c>
      <c r="E650" s="324" t="s">
        <v>14</v>
      </c>
      <c r="F650" s="324" t="str">
        <f aca="false">LEFT('LT records'!$E650,3)</f>
        <v>CSH</v>
      </c>
      <c r="G650" s="354" t="str">
        <f aca="false">IF(OR('LT records'!$F650="MyF", 'LT records'!$F650="DEP"),"DEP",IF('LT records'!$F650="CSH","CSH",IF('LT records'!$F650="BON","BND",IF('LT records'!$F650="Sma","MKT",IF(OR('LT records'!$F650="Val", 'LT records'!$F650="EUR"),"FCY",IF('LT records'!$F650="X-P","PP3",IF('LT records'!$F650="X-m","XAU","???")))))))</f>
        <v>CSH</v>
      </c>
      <c r="H650" s="325" t="n">
        <v>-4510</v>
      </c>
      <c r="I650" s="340"/>
      <c r="J650" s="340"/>
      <c r="K650" s="340"/>
      <c r="L650" s="341" t="s">
        <v>642</v>
      </c>
      <c r="M650" s="350" t="str">
        <f aca="false">YEAR('LT records'!$B650)&amp;"-"&amp;MONTH('LT records'!$B650)</f>
        <v>2020-2</v>
      </c>
      <c r="N650" s="343" t="n">
        <f aca="false">'LT records'!$H650+'LT records'!$I650</f>
        <v>-4510</v>
      </c>
      <c r="O650" s="326"/>
      <c r="P650" s="324"/>
      <c r="R650" s="327"/>
    </row>
    <row r="651" customFormat="false" ht="12.8" hidden="false" customHeight="false" outlineLevel="0" collapsed="false">
      <c r="B651" s="351" t="n">
        <v>43879</v>
      </c>
      <c r="C651" s="348" t="n">
        <f aca="false">YEAR('LT records'!$B651)</f>
        <v>2020</v>
      </c>
      <c r="D651" s="346" t="str">
        <f aca="false">'LT records'!$C651&amp;"-"&amp;MONTH('LT records'!$B651)</f>
        <v>2020-2</v>
      </c>
      <c r="E651" s="324" t="s">
        <v>311</v>
      </c>
      <c r="F651" s="324" t="str">
        <f aca="false">LEFT('LT records'!$E651,3)</f>
        <v>REN</v>
      </c>
      <c r="G651" s="354" t="str">
        <f aca="false">IF(OR('LT records'!$F651="MyF", 'LT records'!$F651="DEP"),"DEP",IF('LT records'!$F651="CSH","CSH",IF('LT records'!$F651="BON","BND",IF('LT records'!$F651="Sma","MKT",IF(OR('LT records'!$F651="Val", 'LT records'!$F651="EUR"),"FCY",IF('LT records'!$F651="X-P","PP3",IF('LT records'!$F651="X-m","XAU","???")))))))</f>
        <v>???</v>
      </c>
      <c r="H651" s="325" t="n">
        <v>4500</v>
      </c>
      <c r="I651" s="340"/>
      <c r="J651" s="340"/>
      <c r="K651" s="340"/>
      <c r="L651" s="341" t="s">
        <v>643</v>
      </c>
      <c r="M651" s="350" t="str">
        <f aca="false">YEAR('LT records'!$B651)&amp;"-"&amp;MONTH('LT records'!$B651)</f>
        <v>2020-2</v>
      </c>
      <c r="N651" s="343" t="n">
        <f aca="false">'LT records'!$H651+'LT records'!$I651</f>
        <v>4500</v>
      </c>
    </row>
    <row r="652" customFormat="false" ht="12.8" hidden="false" customHeight="false" outlineLevel="0" collapsed="false">
      <c r="B652" s="351" t="n">
        <v>43881</v>
      </c>
      <c r="C652" s="348" t="n">
        <f aca="false">YEAR('LT records'!$B652)</f>
        <v>2020</v>
      </c>
      <c r="D652" s="346" t="str">
        <f aca="false">'LT records'!$C652&amp;"-"&amp;MONTH('LT records'!$B652)</f>
        <v>2020-2</v>
      </c>
      <c r="E652" s="324" t="s">
        <v>14</v>
      </c>
      <c r="F652" s="324" t="str">
        <f aca="false">LEFT('LT records'!$E652,3)</f>
        <v>CSH</v>
      </c>
      <c r="G652" s="354" t="str">
        <f aca="false">IF(OR('LT records'!$F652="MyF", 'LT records'!$F652="DEP"),"DEP",IF('LT records'!$F652="CSH","CSH",IF('LT records'!$F652="BON","BND",IF('LT records'!$F652="Sma","MKT",IF(OR('LT records'!$F652="Val", 'LT records'!$F652="EUR"),"FCY",IF('LT records'!$F652="X-P","PP3",IF('LT records'!$F652="X-m","XAU","???")))))))</f>
        <v>CSH</v>
      </c>
      <c r="H652" s="325" t="n">
        <f aca="false">-228</f>
        <v>-228</v>
      </c>
      <c r="I652" s="340"/>
      <c r="J652" s="340"/>
      <c r="K652" s="340"/>
      <c r="L652" s="341" t="s">
        <v>618</v>
      </c>
      <c r="M652" s="350" t="str">
        <f aca="false">YEAR('LT records'!$B652)&amp;"-"&amp;MONTH('LT records'!$B652)</f>
        <v>2020-2</v>
      </c>
      <c r="N652" s="343" t="n">
        <f aca="false">'LT records'!$H652+'LT records'!$I652</f>
        <v>-228</v>
      </c>
    </row>
    <row r="653" customFormat="false" ht="12.8" hidden="false" customHeight="false" outlineLevel="0" collapsed="false">
      <c r="B653" s="351" t="n">
        <v>43886</v>
      </c>
      <c r="C653" s="348" t="n">
        <f aca="false">YEAR('LT records'!$B653)</f>
        <v>2020</v>
      </c>
      <c r="D653" s="346" t="str">
        <f aca="false">'LT records'!$C653&amp;"-"&amp;MONTH('LT records'!$B653)</f>
        <v>2020-2</v>
      </c>
      <c r="E653" s="324" t="s">
        <v>423</v>
      </c>
      <c r="F653" s="324" t="str">
        <f aca="false">LEFT('LT records'!$E653,3)</f>
        <v>Sma</v>
      </c>
      <c r="G653" s="354" t="str">
        <f aca="false">IF(OR('LT records'!$F653="MyF", 'LT records'!$F653="DEP"),"DEP",IF('LT records'!$F653="CSH","CSH",IF('LT records'!$F653="BON","BND",IF('LT records'!$F653="Sma","MKT",IF(OR('LT records'!$F653="Val", 'LT records'!$F653="EUR"),"FCY",IF('LT records'!$F653="X-P","PP3",IF('LT records'!$F653="X-m","XAU","???")))))))</f>
        <v>MKT</v>
      </c>
      <c r="H653" s="325" t="n">
        <v>1100</v>
      </c>
      <c r="I653" s="340"/>
      <c r="J653" s="340"/>
      <c r="K653" s="340"/>
      <c r="L653" s="341" t="s">
        <v>460</v>
      </c>
      <c r="M653" s="350" t="str">
        <f aca="false">YEAR('LT records'!$B653)&amp;"-"&amp;MONTH('LT records'!$B653)</f>
        <v>2020-2</v>
      </c>
      <c r="N653" s="343" t="n">
        <f aca="false">'LT records'!$H653+'LT records'!$I653</f>
        <v>1100</v>
      </c>
    </row>
    <row r="654" customFormat="false" ht="12.8" hidden="false" customHeight="false" outlineLevel="0" collapsed="false">
      <c r="B654" s="351" t="n">
        <v>43886</v>
      </c>
      <c r="C654" s="348" t="n">
        <f aca="false">YEAR('LT records'!$B654)</f>
        <v>2020</v>
      </c>
      <c r="D654" s="346" t="str">
        <f aca="false">'LT records'!$C654&amp;"-"&amp;MONTH('LT records'!$B654)</f>
        <v>2020-2</v>
      </c>
      <c r="E654" s="324" t="s">
        <v>318</v>
      </c>
      <c r="F654" s="324" t="str">
        <f aca="false">LEFT('LT records'!$E654,3)</f>
        <v>X-P</v>
      </c>
      <c r="G654" s="354" t="str">
        <f aca="false">IF(OR('LT records'!$F654="MyF", 'LT records'!$F654="DEP"),"DEP",IF('LT records'!$F654="CSH","CSH",IF('LT records'!$F654="BON","BND",IF('LT records'!$F654="Sma","MKT",IF(OR('LT records'!$F654="Val", 'LT records'!$F654="EUR"),"FCY",IF('LT records'!$F654="X-P","PP3",IF('LT records'!$F654="X-m","XAU","???")))))))</f>
        <v>PP3</v>
      </c>
      <c r="H654" s="325" t="n">
        <v>400</v>
      </c>
      <c r="I654" s="340"/>
      <c r="J654" s="340"/>
      <c r="K654" s="340"/>
      <c r="L654" s="341" t="s">
        <v>595</v>
      </c>
      <c r="M654" s="350" t="str">
        <f aca="false">YEAR('LT records'!$B654)&amp;"-"&amp;MONTH('LT records'!$B654)</f>
        <v>2020-2</v>
      </c>
      <c r="N654" s="343" t="n">
        <f aca="false">'LT records'!$H654+'LT records'!$I654</f>
        <v>400</v>
      </c>
    </row>
    <row r="655" customFormat="false" ht="12.8" hidden="false" customHeight="false" outlineLevel="0" collapsed="false">
      <c r="B655" s="351" t="n">
        <v>43887</v>
      </c>
      <c r="C655" s="348" t="n">
        <f aca="false">YEAR('LT records'!$B655)</f>
        <v>2020</v>
      </c>
      <c r="D655" s="346" t="str">
        <f aca="false">'LT records'!$C655&amp;"-"&amp;MONTH('LT records'!$B655)</f>
        <v>2020-2</v>
      </c>
      <c r="E655" s="324" t="s">
        <v>14</v>
      </c>
      <c r="F655" s="324" t="str">
        <f aca="false">LEFT('LT records'!$E655,3)</f>
        <v>CSH</v>
      </c>
      <c r="G655" s="354" t="str">
        <f aca="false">IF(OR('LT records'!$F655="MyF", 'LT records'!$F655="DEP"),"DEP",IF('LT records'!$F655="CSH","CSH",IF('LT records'!$F655="BON","BND",IF('LT records'!$F655="Sma","MKT",IF(OR('LT records'!$F655="Val", 'LT records'!$F655="EUR"),"FCY",IF('LT records'!$F655="X-P","PP3",IF('LT records'!$F655="X-m","XAU","???")))))))</f>
        <v>CSH</v>
      </c>
      <c r="H655" s="325" t="n">
        <f aca="false">-600</f>
        <v>-600</v>
      </c>
      <c r="I655" s="340"/>
      <c r="J655" s="340"/>
      <c r="K655" s="340"/>
      <c r="L655" s="341" t="s">
        <v>644</v>
      </c>
      <c r="M655" s="350" t="str">
        <f aca="false">YEAR('LT records'!$B655)&amp;"-"&amp;MONTH('LT records'!$B655)</f>
        <v>2020-2</v>
      </c>
      <c r="N655" s="343" t="n">
        <f aca="false">'LT records'!$H655+'LT records'!$I655</f>
        <v>-600</v>
      </c>
    </row>
    <row r="656" customFormat="false" ht="12.8" hidden="false" customHeight="false" outlineLevel="0" collapsed="false">
      <c r="B656" s="351" t="n">
        <v>43887</v>
      </c>
      <c r="C656" s="348" t="n">
        <f aca="false">YEAR('LT records'!$B656)</f>
        <v>2020</v>
      </c>
      <c r="D656" s="346" t="str">
        <f aca="false">'LT records'!$C656&amp;"-"&amp;MONTH('LT records'!$B656)</f>
        <v>2020-2</v>
      </c>
      <c r="E656" s="324" t="s">
        <v>444</v>
      </c>
      <c r="F656" s="324" t="str">
        <f aca="false">LEFT('LT records'!$E656,3)</f>
        <v>Val</v>
      </c>
      <c r="G656" s="354" t="str">
        <f aca="false">IF(OR('LT records'!$F656="MyF", 'LT records'!$F656="DEP"),"DEP",IF('LT records'!$F656="CSH","CSH",IF('LT records'!$F656="BON","BND",IF('LT records'!$F656="Sma","MKT",IF(OR('LT records'!$F656="Val", 'LT records'!$F656="EUR"),"FCY",IF('LT records'!$F656="X-P","PP3",IF('LT records'!$F656="X-m","XAU","???")))))))</f>
        <v>FCY</v>
      </c>
      <c r="H656" s="325" t="n">
        <v>65.01</v>
      </c>
      <c r="I656" s="340"/>
      <c r="J656" s="340" t="n">
        <v>13.44</v>
      </c>
      <c r="K656" s="340"/>
      <c r="L656" s="341" t="s">
        <v>581</v>
      </c>
      <c r="M656" s="350" t="str">
        <f aca="false">YEAR('LT records'!$B656)&amp;"-"&amp;MONTH('LT records'!$B656)</f>
        <v>2020-2</v>
      </c>
      <c r="N656" s="343" t="n">
        <f aca="false">'LT records'!$H656+'LT records'!$I656</f>
        <v>65.01</v>
      </c>
    </row>
    <row r="657" customFormat="false" ht="12.8" hidden="false" customHeight="false" outlineLevel="0" collapsed="false">
      <c r="B657" s="351" t="n">
        <v>43889</v>
      </c>
      <c r="C657" s="348" t="n">
        <f aca="false">YEAR('LT records'!$B657)</f>
        <v>2020</v>
      </c>
      <c r="D657" s="346" t="str">
        <f aca="false">'LT records'!$C657&amp;"-"&amp;MONTH('LT records'!$B657)</f>
        <v>2020-2</v>
      </c>
      <c r="E657" s="324" t="s">
        <v>636</v>
      </c>
      <c r="F657" s="324" t="str">
        <f aca="false">LEFT('LT records'!$E657,3)</f>
        <v>dep</v>
      </c>
      <c r="G657" s="354" t="str">
        <f aca="false">IF(OR('LT records'!$F657="MyF", 'LT records'!$F657="DEP"),"DEP",IF('LT records'!$F657="CSH","CSH",IF('LT records'!$F657="BON","BND",IF('LT records'!$F657="Sma","MKT",IF(OR('LT records'!$F657="Val", 'LT records'!$F657="EUR"),"FCY",IF('LT records'!$F657="X-P","PP3",IF('LT records'!$F657="X-m","XAU","???")))))))</f>
        <v>DEP</v>
      </c>
      <c r="H657" s="325" t="n">
        <v>-5000</v>
      </c>
      <c r="I657" s="340" t="n">
        <v>9.14</v>
      </c>
      <c r="J657" s="340"/>
      <c r="K657" s="340"/>
      <c r="L657" s="341" t="s">
        <v>645</v>
      </c>
      <c r="M657" s="350" t="str">
        <f aca="false">YEAR('LT records'!$B657)&amp;"-"&amp;MONTH('LT records'!$B657)</f>
        <v>2020-2</v>
      </c>
      <c r="N657" s="343" t="n">
        <f aca="false">'LT records'!$H657+'LT records'!$I657</f>
        <v>-4990.86</v>
      </c>
    </row>
    <row r="658" customFormat="false" ht="12.8" hidden="false" customHeight="false" outlineLevel="0" collapsed="false">
      <c r="B658" s="351" t="n">
        <v>43889</v>
      </c>
      <c r="C658" s="348" t="n">
        <f aca="false">YEAR('LT records'!$B658)</f>
        <v>2020</v>
      </c>
      <c r="D658" s="346" t="str">
        <f aca="false">'LT records'!$C658&amp;"-"&amp;MONTH('LT records'!$B658)</f>
        <v>2020-2</v>
      </c>
      <c r="E658" s="324" t="s">
        <v>14</v>
      </c>
      <c r="F658" s="324" t="str">
        <f aca="false">LEFT('LT records'!$E658,3)</f>
        <v>CSH</v>
      </c>
      <c r="G658" s="354" t="str">
        <f aca="false">IF(OR('LT records'!$F658="MyF", 'LT records'!$F658="DEP"),"DEP",IF('LT records'!$F658="CSH","CSH",IF('LT records'!$F658="BON","BND",IF('LT records'!$F658="Sma","MKT",IF(OR('LT records'!$F658="Val", 'LT records'!$F658="EUR"),"FCY",IF('LT records'!$F658="X-P","PP3",IF('LT records'!$F658="X-m","XAU","???")))))))</f>
        <v>CSH</v>
      </c>
      <c r="H658" s="325" t="n">
        <v>5000</v>
      </c>
      <c r="I658" s="340"/>
      <c r="J658" s="340"/>
      <c r="K658" s="340"/>
      <c r="L658" s="341" t="s">
        <v>646</v>
      </c>
      <c r="M658" s="350" t="str">
        <f aca="false">YEAR('LT records'!$B658)&amp;"-"&amp;MONTH('LT records'!$B658)</f>
        <v>2020-2</v>
      </c>
      <c r="N658" s="343" t="n">
        <f aca="false">'LT records'!$H658+'LT records'!$I658</f>
        <v>5000</v>
      </c>
    </row>
    <row r="659" customFormat="false" ht="12.8" hidden="false" customHeight="false" outlineLevel="0" collapsed="false">
      <c r="B659" s="351" t="n">
        <v>43889</v>
      </c>
      <c r="C659" s="348" t="n">
        <f aca="false">YEAR('LT records'!$B659)</f>
        <v>2020</v>
      </c>
      <c r="D659" s="346" t="str">
        <f aca="false">'LT records'!$C659&amp;"-"&amp;MONTH('LT records'!$B659)</f>
        <v>2020-2</v>
      </c>
      <c r="E659" s="324" t="s">
        <v>14</v>
      </c>
      <c r="F659" s="324" t="str">
        <f aca="false">LEFT('LT records'!$E659,3)</f>
        <v>CSH</v>
      </c>
      <c r="G659" s="354" t="str">
        <f aca="false">IF(OR('LT records'!$F659="MyF", 'LT records'!$F659="DEP"),"DEP",IF('LT records'!$F659="CSH","CSH",IF('LT records'!$F659="BON","BND",IF('LT records'!$F659="Sma","MKT",IF(OR('LT records'!$F659="Val", 'LT records'!$F659="EUR"),"FCY",IF('LT records'!$F659="X-P","PP3",IF('LT records'!$F659="X-m","XAU","???")))))))</f>
        <v>CSH</v>
      </c>
      <c r="H659" s="325" t="n">
        <v>50</v>
      </c>
      <c r="I659" s="340" t="n">
        <v>10.26</v>
      </c>
      <c r="J659" s="340"/>
      <c r="K659" s="340"/>
      <c r="L659" s="341" t="s">
        <v>505</v>
      </c>
      <c r="M659" s="350" t="str">
        <f aca="false">YEAR('LT records'!$B659)&amp;"-"&amp;MONTH('LT records'!$B659)</f>
        <v>2020-2</v>
      </c>
      <c r="N659" s="343" t="n">
        <f aca="false">'LT records'!$H659+'LT records'!$I659</f>
        <v>60.26</v>
      </c>
    </row>
    <row r="660" customFormat="false" ht="12.8" hidden="false" customHeight="false" outlineLevel="0" collapsed="false">
      <c r="B660" s="351" t="n">
        <v>43889</v>
      </c>
      <c r="C660" s="348" t="n">
        <f aca="false">YEAR('LT records'!$B660)</f>
        <v>2020</v>
      </c>
      <c r="D660" s="346" t="str">
        <f aca="false">'LT records'!$C660&amp;"-"&amp;MONTH('LT records'!$B660)</f>
        <v>2020-2</v>
      </c>
      <c r="E660" s="324" t="s">
        <v>444</v>
      </c>
      <c r="F660" s="324" t="str">
        <f aca="false">LEFT('LT records'!$E660,3)</f>
        <v>Val</v>
      </c>
      <c r="G660" s="354" t="str">
        <f aca="false">IF(OR('LT records'!$F660="MyF", 'LT records'!$F660="DEP"),"DEP",IF('LT records'!$F660="CSH","CSH",IF('LT records'!$F660="BON","BND",IF('LT records'!$F660="Sma","MKT",IF(OR('LT records'!$F660="Val", 'LT records'!$F660="EUR"),"FCY",IF('LT records'!$F660="X-P","PP3",IF('LT records'!$F660="X-m","XAU","???")))))))</f>
        <v>FCY</v>
      </c>
      <c r="H660" s="325" t="n">
        <v>0</v>
      </c>
      <c r="I660" s="340"/>
      <c r="J660" s="340"/>
      <c r="K660" s="340" t="n">
        <v>0.06</v>
      </c>
      <c r="L660" s="341" t="s">
        <v>40</v>
      </c>
      <c r="M660" s="350" t="str">
        <f aca="false">YEAR('LT records'!$B660)&amp;"-"&amp;MONTH('LT records'!$B660)</f>
        <v>2020-2</v>
      </c>
      <c r="N660" s="343" t="n">
        <f aca="false">'LT records'!$H660+'LT records'!$I660</f>
        <v>0</v>
      </c>
    </row>
    <row r="661" customFormat="false" ht="12.8" hidden="false" customHeight="false" outlineLevel="0" collapsed="false">
      <c r="B661" s="351" t="n">
        <v>43890</v>
      </c>
      <c r="C661" s="348" t="n">
        <f aca="false">YEAR('LT records'!$B661)</f>
        <v>2020</v>
      </c>
      <c r="D661" s="346" t="str">
        <f aca="false">'LT records'!$C661&amp;"-"&amp;MONTH('LT records'!$B661)</f>
        <v>2020-2</v>
      </c>
      <c r="E661" s="324" t="s">
        <v>14</v>
      </c>
      <c r="F661" s="324" t="str">
        <f aca="false">LEFT('LT records'!$E661,3)</f>
        <v>CSH</v>
      </c>
      <c r="G661" s="354" t="str">
        <f aca="false">IF(OR('LT records'!$F661="MyF", 'LT records'!$F661="DEP"),"DEP",IF('LT records'!$F661="CSH","CSH",IF('LT records'!$F661="BON","BND",IF('LT records'!$F661="Sma","MKT",IF(OR('LT records'!$F661="Val", 'LT records'!$F661="EUR"),"FCY",IF('LT records'!$F661="X-P","PP3",IF('LT records'!$F661="X-m","XAU","???")))))))</f>
        <v>CSH</v>
      </c>
      <c r="H661" s="325" t="n">
        <f aca="false">-300+8</f>
        <v>-292</v>
      </c>
      <c r="I661" s="340"/>
      <c r="J661" s="340"/>
      <c r="K661" s="340"/>
      <c r="L661" s="341" t="s">
        <v>647</v>
      </c>
      <c r="M661" s="350" t="str">
        <f aca="false">YEAR('LT records'!$B661)&amp;"-"&amp;MONTH('LT records'!$B661)</f>
        <v>2020-2</v>
      </c>
      <c r="N661" s="343" t="n">
        <f aca="false">'LT records'!$H661+'LT records'!$I661</f>
        <v>-292</v>
      </c>
    </row>
    <row r="662" customFormat="false" ht="12.8" hidden="false" customHeight="false" outlineLevel="0" collapsed="false">
      <c r="B662" s="351" t="n">
        <v>43893</v>
      </c>
      <c r="C662" s="348" t="n">
        <f aca="false">YEAR('LT records'!$B662)</f>
        <v>2020</v>
      </c>
      <c r="D662" s="346" t="str">
        <f aca="false">'LT records'!$C662&amp;"-"&amp;MONTH('LT records'!$B662)</f>
        <v>2020-3</v>
      </c>
      <c r="E662" s="324" t="s">
        <v>14</v>
      </c>
      <c r="F662" s="324" t="str">
        <f aca="false">LEFT('LT records'!$E662,3)</f>
        <v>CSH</v>
      </c>
      <c r="G662" s="354" t="str">
        <f aca="false">IF(OR('LT records'!$F662="MyF", 'LT records'!$F662="DEP"),"DEP",IF('LT records'!$F662="CSH","CSH",IF('LT records'!$F662="BON","BND",IF('LT records'!$F662="Sma","MKT",IF(OR('LT records'!$F662="Val", 'LT records'!$F662="EUR"),"FCY",IF('LT records'!$F662="X-P","PP3",IF('LT records'!$F662="X-m","XAU","???")))))))</f>
        <v>CSH</v>
      </c>
      <c r="H662" s="325" t="n">
        <f aca="false">-4537+2</f>
        <v>-4535</v>
      </c>
      <c r="I662" s="340"/>
      <c r="J662" s="340"/>
      <c r="K662" s="340"/>
      <c r="L662" s="341" t="s">
        <v>553</v>
      </c>
      <c r="M662" s="350" t="str">
        <f aca="false">YEAR('LT records'!$B662)&amp;"-"&amp;MONTH('LT records'!$B662)</f>
        <v>2020-3</v>
      </c>
      <c r="N662" s="343" t="n">
        <f aca="false">'LT records'!$H662+'LT records'!$I662</f>
        <v>-4535</v>
      </c>
    </row>
    <row r="663" customFormat="false" ht="12.8" hidden="false" customHeight="false" outlineLevel="0" collapsed="false">
      <c r="B663" s="351" t="n">
        <v>43893</v>
      </c>
      <c r="C663" s="348" t="n">
        <f aca="false">YEAR('LT records'!$B663)</f>
        <v>2020</v>
      </c>
      <c r="D663" s="346" t="str">
        <f aca="false">'LT records'!$C663&amp;"-"&amp;MONTH('LT records'!$B663)</f>
        <v>2020-3</v>
      </c>
      <c r="E663" s="324" t="s">
        <v>296</v>
      </c>
      <c r="F663" s="324" t="str">
        <f aca="false">LEFT('LT records'!$E663,3)</f>
        <v>DEP</v>
      </c>
      <c r="G663" s="354" t="str">
        <f aca="false">IF(OR('LT records'!$F663="MyF", 'LT records'!$F663="DEP"),"DEP",IF('LT records'!$F663="CSH","CSH",IF('LT records'!$F663="BON","BND",IF('LT records'!$F663="Sma","MKT",IF(OR('LT records'!$F663="Val", 'LT records'!$F663="EUR"),"FCY",IF('LT records'!$F663="X-P","PP3",IF('LT records'!$F663="X-m","XAU","???")))))))</f>
        <v>DEP</v>
      </c>
      <c r="H663" s="325" t="n">
        <v>4486.44</v>
      </c>
      <c r="I663" s="340" t="n">
        <f aca="false">222.84-22.28</f>
        <v>200.56</v>
      </c>
      <c r="J663" s="340"/>
      <c r="K663" s="340"/>
      <c r="L663" s="341" t="s">
        <v>562</v>
      </c>
      <c r="M663" s="350" t="str">
        <f aca="false">YEAR('LT records'!$B663)&amp;"-"&amp;MONTH('LT records'!$B663)</f>
        <v>2020-3</v>
      </c>
      <c r="N663" s="343" t="n">
        <f aca="false">'LT records'!$H663+'LT records'!$I663</f>
        <v>4687</v>
      </c>
    </row>
    <row r="664" customFormat="false" ht="12.8" hidden="false" customHeight="false" outlineLevel="0" collapsed="false">
      <c r="B664" s="351" t="n">
        <v>43893</v>
      </c>
      <c r="C664" s="348" t="n">
        <f aca="false">YEAR('LT records'!$B664)</f>
        <v>2020</v>
      </c>
      <c r="D664" s="346" t="str">
        <f aca="false">'LT records'!$C664&amp;"-"&amp;MONTH('LT records'!$B664)</f>
        <v>2020-3</v>
      </c>
      <c r="E664" s="324" t="s">
        <v>444</v>
      </c>
      <c r="F664" s="324" t="str">
        <f aca="false">LEFT('LT records'!$E664,3)</f>
        <v>Val</v>
      </c>
      <c r="G664" s="354" t="str">
        <f aca="false">IF(OR('LT records'!$F664="MyF", 'LT records'!$F664="DEP"),"DEP",IF('LT records'!$F664="CSH","CSH",IF('LT records'!$F664="BON","BND",IF('LT records'!$F664="Sma","MKT",IF(OR('LT records'!$F664="Val", 'LT records'!$F664="EUR"),"FCY",IF('LT records'!$F664="X-P","PP3",IF('LT records'!$F664="X-m","XAU","???")))))))</f>
        <v>FCY</v>
      </c>
      <c r="H664" s="325" t="n">
        <v>48.35</v>
      </c>
      <c r="I664" s="340"/>
      <c r="J664" s="340" t="n">
        <f aca="false">-418.12+10</f>
        <v>-408.12</v>
      </c>
      <c r="K664" s="340"/>
      <c r="L664" s="341" t="s">
        <v>553</v>
      </c>
      <c r="M664" s="350" t="str">
        <f aca="false">YEAR('LT records'!$B664)&amp;"-"&amp;MONTH('LT records'!$B664)</f>
        <v>2020-3</v>
      </c>
      <c r="N664" s="343" t="n">
        <f aca="false">'LT records'!$H664+'LT records'!$I664</f>
        <v>48.35</v>
      </c>
    </row>
    <row r="665" customFormat="false" ht="12.8" hidden="false" customHeight="false" outlineLevel="0" collapsed="false">
      <c r="B665" s="351" t="n">
        <v>43893</v>
      </c>
      <c r="C665" s="348" t="n">
        <f aca="false">YEAR('LT records'!$B665)</f>
        <v>2020</v>
      </c>
      <c r="D665" s="346" t="str">
        <f aca="false">'LT records'!$C665&amp;"-"&amp;MONTH('LT records'!$B665)</f>
        <v>2020-3</v>
      </c>
      <c r="E665" s="324" t="s">
        <v>564</v>
      </c>
      <c r="F665" s="324" t="str">
        <f aca="false">LEFT('LT records'!$E665,3)</f>
        <v>EUR</v>
      </c>
      <c r="G665" s="354" t="str">
        <f aca="false">IF(OR('LT records'!$F665="MyF", 'LT records'!$F665="DEP"),"DEP",IF('LT records'!$F665="CSH","CSH",IF('LT records'!$F665="BON","BND",IF('LT records'!$F665="Sma","MKT",IF(OR('LT records'!$F665="Val", 'LT records'!$F665="EUR"),"FCY",IF('LT records'!$F665="X-P","PP3",IF('LT records'!$F665="X-m","XAU","???")))))))</f>
        <v>FCY</v>
      </c>
      <c r="H665" s="325" t="n">
        <v>0</v>
      </c>
      <c r="I665" s="340"/>
      <c r="J665" s="340" t="n">
        <v>418.12</v>
      </c>
      <c r="K665" s="340" t="n">
        <f aca="false">2.09-0.21</f>
        <v>1.88</v>
      </c>
      <c r="L665" s="341" t="s">
        <v>562</v>
      </c>
      <c r="M665" s="350" t="str">
        <f aca="false">YEAR('LT records'!$B665)&amp;"-"&amp;MONTH('LT records'!$B665)</f>
        <v>2020-3</v>
      </c>
      <c r="N665" s="343" t="n">
        <f aca="false">'LT records'!$H665+'LT records'!$I665</f>
        <v>0</v>
      </c>
    </row>
    <row r="666" customFormat="false" ht="12.8" hidden="false" customHeight="false" outlineLevel="0" collapsed="false">
      <c r="B666" s="351" t="n">
        <v>43903</v>
      </c>
      <c r="C666" s="348" t="n">
        <f aca="false">YEAR('LT records'!$B666)</f>
        <v>2020</v>
      </c>
      <c r="D666" s="346" t="str">
        <f aca="false">'LT records'!$C666&amp;"-"&amp;MONTH('LT records'!$B666)</f>
        <v>2020-3</v>
      </c>
      <c r="E666" s="324" t="s">
        <v>14</v>
      </c>
      <c r="F666" s="324" t="str">
        <f aca="false">LEFT('LT records'!$E666,3)</f>
        <v>CSH</v>
      </c>
      <c r="G666" s="354" t="str">
        <f aca="false">IF(OR('LT records'!$F666="MyF", 'LT records'!$F666="DEP"),"DEP",IF('LT records'!$F666="CSH","CSH",IF('LT records'!$F666="BON","BND",IF('LT records'!$F666="Sma","MKT",IF(OR('LT records'!$F666="Val", 'LT records'!$F666="EUR"),"FCY",IF('LT records'!$F666="X-P","PP3",IF('LT records'!$F666="X-m","XAU","???")))))))</f>
        <v>CSH</v>
      </c>
      <c r="H666" s="325" t="n">
        <f aca="false">6000-2000</f>
        <v>4000</v>
      </c>
      <c r="I666" s="340"/>
      <c r="J666" s="340"/>
      <c r="K666" s="340"/>
      <c r="L666" s="341" t="s">
        <v>56</v>
      </c>
      <c r="M666" s="350" t="str">
        <f aca="false">YEAR('LT records'!$B666)&amp;"-"&amp;MONTH('LT records'!$B666)</f>
        <v>2020-3</v>
      </c>
      <c r="N666" s="343" t="n">
        <f aca="false">'LT records'!$H666+'LT records'!$I666</f>
        <v>4000</v>
      </c>
    </row>
    <row r="667" customFormat="false" ht="12.8" hidden="false" customHeight="false" outlineLevel="0" collapsed="false">
      <c r="B667" s="351" t="n">
        <v>43911</v>
      </c>
      <c r="C667" s="348" t="n">
        <f aca="false">YEAR('LT records'!$B667)</f>
        <v>2020</v>
      </c>
      <c r="D667" s="346" t="str">
        <f aca="false">'LT records'!$C667&amp;"-"&amp;MONTH('LT records'!$B667)</f>
        <v>2020-3</v>
      </c>
      <c r="E667" s="324" t="s">
        <v>444</v>
      </c>
      <c r="F667" s="324" t="str">
        <f aca="false">LEFT('LT records'!$E667,3)</f>
        <v>Val</v>
      </c>
      <c r="G667" s="354" t="str">
        <f aca="false">IF(OR('LT records'!$F667="MyF", 'LT records'!$F667="DEP"),"DEP",IF('LT records'!$F667="CSH","CSH",IF('LT records'!$F667="BON","BND",IF('LT records'!$F667="Sma","MKT",IF(OR('LT records'!$F667="Val", 'LT records'!$F667="EUR"),"FCY",IF('LT records'!$F667="X-P","PP3",IF('LT records'!$F667="X-m","XAU","???")))))))</f>
        <v>FCY</v>
      </c>
      <c r="H667" s="325" t="n">
        <v>1235.01</v>
      </c>
      <c r="I667" s="340"/>
      <c r="J667" s="340" t="n">
        <v>252.62</v>
      </c>
      <c r="K667" s="340"/>
      <c r="L667" s="341" t="s">
        <v>581</v>
      </c>
      <c r="M667" s="350" t="str">
        <f aca="false">YEAR('LT records'!$B667)&amp;"-"&amp;MONTH('LT records'!$B667)</f>
        <v>2020-3</v>
      </c>
      <c r="N667" s="343" t="n">
        <f aca="false">'LT records'!$H667+'LT records'!$I667</f>
        <v>1235.01</v>
      </c>
    </row>
    <row r="668" customFormat="false" ht="12.8" hidden="false" customHeight="false" outlineLevel="0" collapsed="false">
      <c r="B668" s="351" t="n">
        <v>43915</v>
      </c>
      <c r="C668" s="348" t="n">
        <f aca="false">YEAR('LT records'!$B668)</f>
        <v>2020</v>
      </c>
      <c r="D668" s="346" t="str">
        <f aca="false">'LT records'!$C668&amp;"-"&amp;MONTH('LT records'!$B668)</f>
        <v>2020-3</v>
      </c>
      <c r="E668" s="324" t="s">
        <v>423</v>
      </c>
      <c r="F668" s="324" t="str">
        <f aca="false">LEFT('LT records'!$E668,3)</f>
        <v>Sma</v>
      </c>
      <c r="G668" s="354" t="str">
        <f aca="false">IF(OR('LT records'!$F668="MyF", 'LT records'!$F668="DEP"),"DEP",IF('LT records'!$F668="CSH","CSH",IF('LT records'!$F668="BON","BND",IF('LT records'!$F668="Sma","MKT",IF(OR('LT records'!$F668="Val", 'LT records'!$F668="EUR"),"FCY",IF('LT records'!$F668="X-P","PP3",IF('LT records'!$F668="X-m","XAU","???")))))))</f>
        <v>MKT</v>
      </c>
      <c r="H668" s="325" t="n">
        <v>1100</v>
      </c>
      <c r="I668" s="340"/>
      <c r="J668" s="340"/>
      <c r="K668" s="340"/>
      <c r="L668" s="341" t="s">
        <v>460</v>
      </c>
      <c r="M668" s="350" t="str">
        <f aca="false">YEAR('LT records'!$B668)&amp;"-"&amp;MONTH('LT records'!$B668)</f>
        <v>2020-3</v>
      </c>
      <c r="N668" s="343" t="n">
        <f aca="false">'LT records'!$H668+'LT records'!$I668</f>
        <v>1100</v>
      </c>
    </row>
    <row r="669" customFormat="false" ht="12.8" hidden="false" customHeight="false" outlineLevel="0" collapsed="false">
      <c r="B669" s="351" t="n">
        <v>43915</v>
      </c>
      <c r="C669" s="348" t="n">
        <f aca="false">YEAR('LT records'!$B669)</f>
        <v>2020</v>
      </c>
      <c r="D669" s="346" t="str">
        <f aca="false">'LT records'!$C669&amp;"-"&amp;MONTH('LT records'!$B669)</f>
        <v>2020-3</v>
      </c>
      <c r="E669" s="324" t="s">
        <v>318</v>
      </c>
      <c r="F669" s="324" t="str">
        <f aca="false">LEFT('LT records'!$E669,3)</f>
        <v>X-P</v>
      </c>
      <c r="G669" s="354" t="str">
        <f aca="false">IF(OR('LT records'!$F669="MyF", 'LT records'!$F669="DEP"),"DEP",IF('LT records'!$F669="CSH","CSH",IF('LT records'!$F669="BON","BND",IF('LT records'!$F669="Sma","MKT",IF(OR('LT records'!$F669="Val", 'LT records'!$F669="EUR"),"FCY",IF('LT records'!$F669="X-P","PP3",IF('LT records'!$F669="X-m","XAU","???")))))))</f>
        <v>PP3</v>
      </c>
      <c r="H669" s="325" t="n">
        <v>400</v>
      </c>
      <c r="I669" s="340"/>
      <c r="J669" s="340"/>
      <c r="K669" s="340"/>
      <c r="L669" s="341" t="s">
        <v>595</v>
      </c>
      <c r="M669" s="350" t="str">
        <f aca="false">YEAR('LT records'!$B669)&amp;"-"&amp;MONTH('LT records'!$B669)</f>
        <v>2020-3</v>
      </c>
      <c r="N669" s="343" t="n">
        <f aca="false">'LT records'!$H669+'LT records'!$I669</f>
        <v>400</v>
      </c>
    </row>
    <row r="670" customFormat="false" ht="12.8" hidden="false" customHeight="false" outlineLevel="0" collapsed="false">
      <c r="B670" s="351" t="n">
        <v>43918</v>
      </c>
      <c r="C670" s="348" t="n">
        <f aca="false">YEAR('LT records'!$B670)</f>
        <v>2020</v>
      </c>
      <c r="D670" s="346" t="str">
        <f aca="false">'LT records'!$C670&amp;"-"&amp;MONTH('LT records'!$B670)</f>
        <v>2020-3</v>
      </c>
      <c r="E670" s="324" t="s">
        <v>14</v>
      </c>
      <c r="F670" s="324" t="str">
        <f aca="false">LEFT('LT records'!$E670,3)</f>
        <v>CSH</v>
      </c>
      <c r="G670" s="354" t="str">
        <f aca="false">IF(OR('LT records'!$F670="MyF", 'LT records'!$F670="DEP"),"DEP",IF('LT records'!$F670="CSH","CSH",IF('LT records'!$F670="BON","BND",IF('LT records'!$F670="Sma","MKT",IF(OR('LT records'!$F670="Val", 'LT records'!$F670="EUR"),"FCY",IF('LT records'!$F670="X-P","PP3",IF('LT records'!$F670="X-m","XAU","???")))))))</f>
        <v>CSH</v>
      </c>
      <c r="H670" s="325" t="n">
        <v>50</v>
      </c>
      <c r="I670" s="340" t="n">
        <v>10.22</v>
      </c>
      <c r="J670" s="340"/>
      <c r="K670" s="340"/>
      <c r="L670" s="341" t="s">
        <v>648</v>
      </c>
      <c r="M670" s="350" t="str">
        <f aca="false">YEAR('LT records'!$B670)&amp;"-"&amp;MONTH('LT records'!$B670)</f>
        <v>2020-3</v>
      </c>
      <c r="N670" s="343" t="n">
        <f aca="false">'LT records'!$H670+'LT records'!$I670</f>
        <v>60.22</v>
      </c>
    </row>
    <row r="671" customFormat="false" ht="12.8" hidden="false" customHeight="false" outlineLevel="0" collapsed="false">
      <c r="B671" s="351" t="n">
        <v>43918</v>
      </c>
      <c r="C671" s="348" t="n">
        <f aca="false">YEAR('LT records'!$B671)</f>
        <v>2020</v>
      </c>
      <c r="D671" s="346" t="str">
        <f aca="false">'LT records'!$C671&amp;"-"&amp;MONTH('LT records'!$B671)</f>
        <v>2020-3</v>
      </c>
      <c r="E671" s="324" t="s">
        <v>14</v>
      </c>
      <c r="F671" s="324" t="str">
        <f aca="false">LEFT('LT records'!$E671,3)</f>
        <v>CSH</v>
      </c>
      <c r="G671" s="354" t="str">
        <f aca="false">IF(OR('LT records'!$F671="MyF", 'LT records'!$F671="DEP"),"DEP",IF('LT records'!$F671="CSH","CSH",IF('LT records'!$F671="BON","BND",IF('LT records'!$F671="Sma","MKT",IF(OR('LT records'!$F671="Val", 'LT records'!$F671="EUR"),"FCY",IF('LT records'!$F671="X-P","PP3",IF('LT records'!$F671="X-m","XAU","???")))))))</f>
        <v>CSH</v>
      </c>
      <c r="H671" s="325" t="n">
        <v>-738</v>
      </c>
      <c r="I671" s="340"/>
      <c r="J671" s="340"/>
      <c r="K671" s="340"/>
      <c r="L671" s="341" t="s">
        <v>480</v>
      </c>
      <c r="M671" s="350" t="str">
        <f aca="false">YEAR('LT records'!$B671)&amp;"-"&amp;MONTH('LT records'!$B671)</f>
        <v>2020-3</v>
      </c>
      <c r="N671" s="343" t="n">
        <f aca="false">'LT records'!$H671+'LT records'!$I671</f>
        <v>-738</v>
      </c>
    </row>
    <row r="672" customFormat="false" ht="12.8" hidden="false" customHeight="false" outlineLevel="0" collapsed="false">
      <c r="B672" s="351" t="n">
        <v>43920</v>
      </c>
      <c r="C672" s="348" t="n">
        <f aca="false">YEAR('LT records'!$B672)</f>
        <v>2020</v>
      </c>
      <c r="D672" s="346" t="str">
        <f aca="false">'LT records'!$C672&amp;"-"&amp;MONTH('LT records'!$B672)</f>
        <v>2020-3</v>
      </c>
      <c r="E672" s="324" t="s">
        <v>636</v>
      </c>
      <c r="F672" s="324" t="str">
        <f aca="false">LEFT('LT records'!$E672,3)</f>
        <v>dep</v>
      </c>
      <c r="G672" s="354" t="str">
        <f aca="false">IF(OR('LT records'!$F672="MyF", 'LT records'!$F672="DEP"),"DEP",IF('LT records'!$F672="CSH","CSH",IF('LT records'!$F672="BON","BND",IF('LT records'!$F672="Sma","MKT",IF(OR('LT records'!$F672="Val", 'LT records'!$F672="EUR"),"FCY",IF('LT records'!$F672="X-P","PP3",IF('LT records'!$F672="X-m","XAU","???")))))))</f>
        <v>DEP</v>
      </c>
      <c r="H672" s="325" t="n">
        <v>-5013.72</v>
      </c>
      <c r="I672" s="340" t="n">
        <v>4.58</v>
      </c>
      <c r="J672" s="340"/>
      <c r="K672" s="340"/>
      <c r="L672" s="341" t="s">
        <v>40</v>
      </c>
      <c r="M672" s="350" t="str">
        <f aca="false">YEAR('LT records'!$B672)&amp;"-"&amp;MONTH('LT records'!$B672)</f>
        <v>2020-3</v>
      </c>
      <c r="N672" s="343" t="n">
        <f aca="false">'LT records'!$H672+'LT records'!$I672</f>
        <v>-5009.14</v>
      </c>
    </row>
    <row r="673" customFormat="false" ht="12.8" hidden="false" customHeight="false" outlineLevel="0" collapsed="false">
      <c r="B673" s="351" t="n">
        <v>43920</v>
      </c>
      <c r="C673" s="348" t="n">
        <f aca="false">YEAR('LT records'!$B673)</f>
        <v>2020</v>
      </c>
      <c r="D673" s="346" t="str">
        <f aca="false">'LT records'!$C673&amp;"-"&amp;MONTH('LT records'!$B673)</f>
        <v>2020-3</v>
      </c>
      <c r="E673" s="324" t="s">
        <v>636</v>
      </c>
      <c r="F673" s="324" t="str">
        <f aca="false">LEFT('LT records'!$E673,3)</f>
        <v>dep</v>
      </c>
      <c r="G673" s="354" t="str">
        <f aca="false">IF(OR('LT records'!$F673="MyF", 'LT records'!$F673="DEP"),"DEP",IF('LT records'!$F673="CSH","CSH",IF('LT records'!$F673="BON","BND",IF('LT records'!$F673="Sma","MKT",IF(OR('LT records'!$F673="Val", 'LT records'!$F673="EUR"),"FCY",IF('LT records'!$F673="X-P","PP3",IF('LT records'!$F673="X-m","XAU","???")))))))</f>
        <v>DEP</v>
      </c>
      <c r="H673" s="325" t="n">
        <v>5013.72</v>
      </c>
      <c r="I673" s="340"/>
      <c r="J673" s="340"/>
      <c r="K673" s="340"/>
      <c r="L673" s="341" t="s">
        <v>649</v>
      </c>
      <c r="M673" s="350" t="str">
        <f aca="false">YEAR('LT records'!$B673)&amp;"-"&amp;MONTH('LT records'!$B673)</f>
        <v>2020-3</v>
      </c>
      <c r="N673" s="343" t="n">
        <f aca="false">'LT records'!$H673+'LT records'!$I673</f>
        <v>5013.72</v>
      </c>
    </row>
    <row r="674" customFormat="false" ht="12.8" hidden="false" customHeight="false" outlineLevel="0" collapsed="false">
      <c r="B674" s="351" t="n">
        <v>43922</v>
      </c>
      <c r="C674" s="348" t="n">
        <f aca="false">YEAR('LT records'!$B674)</f>
        <v>2020</v>
      </c>
      <c r="D674" s="346" t="str">
        <f aca="false">'LT records'!$C674&amp;"-"&amp;MONTH('LT records'!$B674)</f>
        <v>2020-4</v>
      </c>
      <c r="E674" s="324" t="s">
        <v>14</v>
      </c>
      <c r="F674" s="324" t="str">
        <f aca="false">LEFT('LT records'!$E674,3)</f>
        <v>CSH</v>
      </c>
      <c r="G674" s="354" t="str">
        <f aca="false">IF(OR('LT records'!$F674="MyF", 'LT records'!$F674="DEP"),"DEP",IF('LT records'!$F674="CSH","CSH",IF('LT records'!$F674="BON","BND",IF('LT records'!$F674="Sma","MKT",IF(OR('LT records'!$F674="Val", 'LT records'!$F674="EUR"),"FCY",IF('LT records'!$F674="X-P","PP3",IF('LT records'!$F674="X-m","XAU","???")))))))</f>
        <v>CSH</v>
      </c>
      <c r="H674" s="325" t="n">
        <v>-2820</v>
      </c>
      <c r="I674" s="340"/>
      <c r="J674" s="340"/>
      <c r="K674" s="340"/>
      <c r="L674" s="341" t="s">
        <v>650</v>
      </c>
      <c r="M674" s="350" t="str">
        <f aca="false">YEAR('LT records'!$B674)&amp;"-"&amp;MONTH('LT records'!$B674)</f>
        <v>2020-4</v>
      </c>
      <c r="N674" s="343" t="n">
        <f aca="false">'LT records'!$H674+'LT records'!$I674</f>
        <v>-2820</v>
      </c>
    </row>
    <row r="675" customFormat="false" ht="12.8" hidden="false" customHeight="false" outlineLevel="0" collapsed="false">
      <c r="B675" s="351" t="n">
        <v>43922</v>
      </c>
      <c r="C675" s="348" t="n">
        <f aca="false">YEAR('LT records'!$B675)</f>
        <v>2020</v>
      </c>
      <c r="D675" s="346" t="str">
        <f aca="false">'LT records'!$C675&amp;"-"&amp;MONTH('LT records'!$B675)</f>
        <v>2020-4</v>
      </c>
      <c r="E675" s="324" t="s">
        <v>444</v>
      </c>
      <c r="F675" s="324" t="str">
        <f aca="false">LEFT('LT records'!$E675,3)</f>
        <v>Val</v>
      </c>
      <c r="G675" s="354" t="str">
        <f aca="false">IF(OR('LT records'!$F675="MyF", 'LT records'!$F675="DEP"),"DEP",IF('LT records'!$F675="CSH","CSH",IF('LT records'!$F675="BON","BND",IF('LT records'!$F675="Sma","MKT",IF(OR('LT records'!$F675="Val", 'LT records'!$F675="EUR"),"FCY",IF('LT records'!$F675="X-P","PP3",IF('LT records'!$F675="X-m","XAU","???")))))))</f>
        <v>FCY</v>
      </c>
      <c r="H675" s="325" t="n">
        <v>2820</v>
      </c>
      <c r="I675" s="340"/>
      <c r="J675" s="340" t="n">
        <v>581.12</v>
      </c>
      <c r="K675" s="340"/>
      <c r="L675" s="341" t="s">
        <v>651</v>
      </c>
      <c r="M675" s="350" t="str">
        <f aca="false">YEAR('LT records'!$B675)&amp;"-"&amp;MONTH('LT records'!$B675)</f>
        <v>2020-4</v>
      </c>
      <c r="N675" s="343" t="n">
        <f aca="false">'LT records'!$H675+'LT records'!$I675</f>
        <v>2820</v>
      </c>
    </row>
    <row r="676" customFormat="false" ht="12.8" hidden="false" customHeight="false" outlineLevel="0" collapsed="false">
      <c r="B676" s="351" t="n">
        <v>43922</v>
      </c>
      <c r="C676" s="348" t="n">
        <f aca="false">YEAR('LT records'!$B676)</f>
        <v>2020</v>
      </c>
      <c r="D676" s="346" t="str">
        <f aca="false">'LT records'!$C676&amp;"-"&amp;MONTH('LT records'!$B676)</f>
        <v>2020-4</v>
      </c>
      <c r="E676" s="324" t="s">
        <v>14</v>
      </c>
      <c r="F676" s="324" t="str">
        <f aca="false">LEFT('LT records'!$E676,3)</f>
        <v>CSH</v>
      </c>
      <c r="G676" s="354" t="str">
        <f aca="false">IF(OR('LT records'!$F676="MyF", 'LT records'!$F676="DEP"),"DEP",IF('LT records'!$F676="CSH","CSH",IF('LT records'!$F676="BON","BND",IF('LT records'!$F676="Sma","MKT",IF(OR('LT records'!$F676="Val", 'LT records'!$F676="EUR"),"FCY",IF('LT records'!$F676="X-P","PP3",IF('LT records'!$F676="X-m","XAU","???")))))))</f>
        <v>CSH</v>
      </c>
      <c r="H676" s="325" t="n">
        <v>-4134.53</v>
      </c>
      <c r="I676" s="340"/>
      <c r="J676" s="340"/>
      <c r="K676" s="340"/>
      <c r="L676" s="341" t="s">
        <v>652</v>
      </c>
      <c r="M676" s="350" t="str">
        <f aca="false">YEAR('LT records'!$B676)&amp;"-"&amp;MONTH('LT records'!$B676)</f>
        <v>2020-4</v>
      </c>
      <c r="N676" s="343" t="n">
        <f aca="false">'LT records'!$H676+'LT records'!$I676</f>
        <v>-4134.53</v>
      </c>
    </row>
    <row r="677" customFormat="false" ht="12.8" hidden="false" customHeight="false" outlineLevel="0" collapsed="false">
      <c r="B677" s="351" t="n">
        <v>43923</v>
      </c>
      <c r="C677" s="348" t="n">
        <f aca="false">YEAR('LT records'!$B677)</f>
        <v>2020</v>
      </c>
      <c r="D677" s="346" t="str">
        <f aca="false">'LT records'!$C677&amp;"-"&amp;MONTH('LT records'!$B677)</f>
        <v>2020-4</v>
      </c>
      <c r="E677" s="324" t="s">
        <v>444</v>
      </c>
      <c r="F677" s="324" t="str">
        <f aca="false">LEFT('LT records'!$E677,3)</f>
        <v>Val</v>
      </c>
      <c r="G677" s="354" t="str">
        <f aca="false">IF(OR('LT records'!$F677="MyF", 'LT records'!$F677="DEP"),"DEP",IF('LT records'!$F677="CSH","CSH",IF('LT records'!$F677="BON","BND",IF('LT records'!$F677="Sma","MKT",IF(OR('LT records'!$F677="Val", 'LT records'!$F677="EUR"),"FCY",IF('LT records'!$F677="X-P","PP3",IF('LT records'!$F677="X-m","XAU","???")))))))</f>
        <v>FCY</v>
      </c>
      <c r="H677" s="325" t="n">
        <v>0</v>
      </c>
      <c r="I677" s="340"/>
      <c r="J677" s="340" t="n">
        <v>-835</v>
      </c>
      <c r="K677" s="340"/>
      <c r="L677" s="341" t="s">
        <v>653</v>
      </c>
      <c r="M677" s="350" t="str">
        <f aca="false">YEAR('LT records'!$B677)&amp;"-"&amp;MONTH('LT records'!$B677)</f>
        <v>2020-4</v>
      </c>
      <c r="N677" s="343" t="n">
        <f aca="false">'LT records'!$H677+'LT records'!$I677</f>
        <v>0</v>
      </c>
    </row>
    <row r="678" customFormat="false" ht="12.8" hidden="false" customHeight="false" outlineLevel="0" collapsed="false">
      <c r="B678" s="351" t="n">
        <v>43923</v>
      </c>
      <c r="C678" s="348" t="n">
        <f aca="false">YEAR('LT records'!$B678)</f>
        <v>2020</v>
      </c>
      <c r="D678" s="346" t="str">
        <f aca="false">'LT records'!$C678&amp;"-"&amp;MONTH('LT records'!$B678)</f>
        <v>2020-4</v>
      </c>
      <c r="E678" s="324" t="s">
        <v>297</v>
      </c>
      <c r="F678" s="324" t="str">
        <f aca="false">LEFT('LT records'!$E678,3)</f>
        <v>DEP</v>
      </c>
      <c r="G678" s="354" t="str">
        <f aca="false">IF(OR('LT records'!$F678="MyF", 'LT records'!$F678="DEP"),"DEP",IF('LT records'!$F678="CSH","CSH",IF('LT records'!$F678="BON","BND",IF('LT records'!$F678="Sma","MKT",IF(OR('LT records'!$F678="Val", 'LT records'!$F678="EUR"),"FCY",IF('LT records'!$F678="X-P","PP3",IF('LT records'!$F678="X-m","XAU","???")))))))</f>
        <v>DEP</v>
      </c>
      <c r="H678" s="325" t="n">
        <v>4134.53</v>
      </c>
      <c r="I678" s="340" t="n">
        <f aca="false">369.41-36.94</f>
        <v>332.47</v>
      </c>
      <c r="J678" s="340"/>
      <c r="K678" s="340"/>
      <c r="L678" s="341" t="s">
        <v>654</v>
      </c>
      <c r="M678" s="350" t="str">
        <f aca="false">YEAR('LT records'!$B678)&amp;"-"&amp;MONTH('LT records'!$B678)</f>
        <v>2020-4</v>
      </c>
      <c r="N678" s="343" t="n">
        <f aca="false">'LT records'!$H678+'LT records'!$I678</f>
        <v>4467</v>
      </c>
    </row>
    <row r="679" customFormat="false" ht="12.8" hidden="false" customHeight="false" outlineLevel="0" collapsed="false">
      <c r="B679" s="351" t="n">
        <v>43923</v>
      </c>
      <c r="C679" s="348" t="n">
        <f aca="false">YEAR('LT records'!$B679)</f>
        <v>2020</v>
      </c>
      <c r="D679" s="346" t="str">
        <f aca="false">'LT records'!$C679&amp;"-"&amp;MONTH('LT records'!$B679)</f>
        <v>2020-4</v>
      </c>
      <c r="E679" s="324" t="s">
        <v>453</v>
      </c>
      <c r="F679" s="324" t="str">
        <f aca="false">LEFT('LT records'!$E679,3)</f>
        <v>EUR</v>
      </c>
      <c r="G679" s="354" t="str">
        <f aca="false">IF(OR('LT records'!$F679="MyF", 'LT records'!$F679="DEP"),"DEP",IF('LT records'!$F679="CSH","CSH",IF('LT records'!$F679="BON","BND",IF('LT records'!$F679="Sma","MKT",IF(OR('LT records'!$F679="Val", 'LT records'!$F679="EUR"),"FCY",IF('LT records'!$F679="X-P","PP3",IF('LT records'!$F679="X-m","XAU","???")))))))</f>
        <v>FCY</v>
      </c>
      <c r="H679" s="325" t="n">
        <v>0</v>
      </c>
      <c r="I679" s="340"/>
      <c r="J679" s="340" t="n">
        <v>835</v>
      </c>
      <c r="K679" s="340"/>
      <c r="L679" s="341" t="s">
        <v>655</v>
      </c>
      <c r="M679" s="350" t="str">
        <f aca="false">YEAR('LT records'!$B679)&amp;"-"&amp;MONTH('LT records'!$B679)</f>
        <v>2020-4</v>
      </c>
      <c r="N679" s="343" t="n">
        <f aca="false">'LT records'!$H679+'LT records'!$I679</f>
        <v>0</v>
      </c>
    </row>
    <row r="680" customFormat="false" ht="12.8" hidden="false" customHeight="false" outlineLevel="0" collapsed="false">
      <c r="B680" s="351" t="n">
        <v>43934</v>
      </c>
      <c r="C680" s="348" t="n">
        <f aca="false">YEAR('LT records'!$B680)</f>
        <v>2020</v>
      </c>
      <c r="D680" s="346" t="str">
        <f aca="false">'LT records'!$C680&amp;"-"&amp;MONTH('LT records'!$B680)</f>
        <v>2020-4</v>
      </c>
      <c r="E680" s="324" t="s">
        <v>453</v>
      </c>
      <c r="F680" s="324" t="str">
        <f aca="false">LEFT('LT records'!$E680,3)</f>
        <v>EUR</v>
      </c>
      <c r="G680" s="354" t="str">
        <f aca="false">IF(OR('LT records'!$F680="MyF", 'LT records'!$F680="DEP"),"DEP",IF('LT records'!$F680="CSH","CSH",IF('LT records'!$F680="BON","BND",IF('LT records'!$F680="Sma","MKT",IF(OR('LT records'!$F680="Val", 'LT records'!$F680="EUR"),"FCY",IF('LT records'!$F680="X-P","PP3",IF('LT records'!$F680="X-m","XAU","???")))))))</f>
        <v>FCY</v>
      </c>
      <c r="H680" s="325" t="n">
        <v>0</v>
      </c>
      <c r="I680" s="340"/>
      <c r="J680" s="340" t="n">
        <v>-813.67</v>
      </c>
      <c r="K680" s="340" t="n">
        <v>3.67</v>
      </c>
      <c r="L680" s="341" t="s">
        <v>656</v>
      </c>
      <c r="M680" s="350" t="str">
        <f aca="false">YEAR('LT records'!$B680)&amp;"-"&amp;MONTH('LT records'!$B680)</f>
        <v>2020-4</v>
      </c>
      <c r="N680" s="343" t="n">
        <f aca="false">'LT records'!$H680+'LT records'!$I680</f>
        <v>0</v>
      </c>
    </row>
    <row r="681" customFormat="false" ht="12.8" hidden="false" customHeight="false" outlineLevel="0" collapsed="false">
      <c r="B681" s="351" t="n">
        <v>43934</v>
      </c>
      <c r="C681" s="348" t="n">
        <f aca="false">YEAR('LT records'!$B681)</f>
        <v>2020</v>
      </c>
      <c r="D681" s="346" t="str">
        <f aca="false">'LT records'!$C681&amp;"-"&amp;MONTH('LT records'!$B681)</f>
        <v>2020-4</v>
      </c>
      <c r="E681" s="324" t="s">
        <v>444</v>
      </c>
      <c r="F681" s="324" t="str">
        <f aca="false">LEFT('LT records'!$E681,3)</f>
        <v>Val</v>
      </c>
      <c r="G681" s="354" t="str">
        <f aca="false">IF(OR('LT records'!$F681="MyF", 'LT records'!$F681="DEP"),"DEP",IF('LT records'!$F681="CSH","CSH",IF('LT records'!$F681="BON","BND",IF('LT records'!$F681="Sma","MKT",IF(OR('LT records'!$F681="Val", 'LT records'!$F681="EUR"),"FCY",IF('LT records'!$F681="X-P","PP3",IF('LT records'!$F681="X-m","XAU","???")))))))</f>
        <v>FCY</v>
      </c>
      <c r="H681" s="325" t="n">
        <v>0</v>
      </c>
      <c r="I681" s="340"/>
      <c r="J681" s="340" t="n">
        <v>813.67</v>
      </c>
      <c r="K681" s="340"/>
      <c r="L681" s="341" t="s">
        <v>657</v>
      </c>
      <c r="M681" s="350" t="str">
        <f aca="false">YEAR('LT records'!$B681)&amp;"-"&amp;MONTH('LT records'!$B681)</f>
        <v>2020-4</v>
      </c>
      <c r="N681" s="343" t="n">
        <f aca="false">'LT records'!$H681+'LT records'!$I681</f>
        <v>0</v>
      </c>
    </row>
    <row r="682" customFormat="false" ht="12.8" hidden="false" customHeight="false" outlineLevel="0" collapsed="false">
      <c r="B682" s="351" t="n">
        <v>43936</v>
      </c>
      <c r="C682" s="348" t="n">
        <f aca="false">YEAR('LT records'!$B682)</f>
        <v>2020</v>
      </c>
      <c r="D682" s="346" t="str">
        <f aca="false">'LT records'!$C682&amp;"-"&amp;MONTH('LT records'!$B682)</f>
        <v>2020-4</v>
      </c>
      <c r="E682" s="324" t="s">
        <v>14</v>
      </c>
      <c r="F682" s="324" t="str">
        <f aca="false">LEFT('LT records'!$E682,3)</f>
        <v>CSH</v>
      </c>
      <c r="G682" s="354" t="str">
        <f aca="false">IF(OR('LT records'!$F682="MyF", 'LT records'!$F682="DEP"),"DEP",IF('LT records'!$F682="CSH","CSH",IF('LT records'!$F682="BON","BND",IF('LT records'!$F682="Sma","MKT",IF(OR('LT records'!$F682="Val", 'LT records'!$F682="EUR"),"FCY",IF('LT records'!$F682="X-P","PP3",IF('LT records'!$F682="X-m","XAU","???")))))))</f>
        <v>CSH</v>
      </c>
      <c r="H682" s="325" t="n">
        <f aca="false">7425</f>
        <v>7425</v>
      </c>
      <c r="I682" s="340"/>
      <c r="J682" s="340"/>
      <c r="K682" s="340"/>
      <c r="L682" s="341" t="s">
        <v>658</v>
      </c>
      <c r="M682" s="350" t="str">
        <f aca="false">YEAR('LT records'!$B682)&amp;"-"&amp;MONTH('LT records'!$B682)</f>
        <v>2020-4</v>
      </c>
      <c r="N682" s="343" t="n">
        <f aca="false">'LT records'!$H682+'LT records'!$I682</f>
        <v>7425</v>
      </c>
    </row>
    <row r="683" customFormat="false" ht="12.8" hidden="false" customHeight="false" outlineLevel="0" collapsed="false">
      <c r="B683" s="351" t="n">
        <v>43943</v>
      </c>
      <c r="C683" s="348" t="n">
        <f aca="false">YEAR('LT records'!$B683)</f>
        <v>2020</v>
      </c>
      <c r="D683" s="346" t="str">
        <f aca="false">'LT records'!$C683&amp;"-"&amp;MONTH('LT records'!$B683)</f>
        <v>2020-4</v>
      </c>
      <c r="E683" s="324" t="s">
        <v>14</v>
      </c>
      <c r="F683" s="324" t="str">
        <f aca="false">LEFT('LT records'!$E683,3)</f>
        <v>CSH</v>
      </c>
      <c r="G683" s="354" t="str">
        <f aca="false">IF(OR('LT records'!$F683="MyF", 'LT records'!$F683="DEP"),"DEP",IF('LT records'!$F683="CSH","CSH",IF('LT records'!$F683="BON","BND",IF('LT records'!$F683="Sma","MKT",IF(OR('LT records'!$F683="Val", 'LT records'!$F683="EUR"),"FCY",IF('LT records'!$F683="X-P","PP3",IF('LT records'!$F683="X-m","XAU","???")))))))</f>
        <v>CSH</v>
      </c>
      <c r="H683" s="325" t="n">
        <f aca="false">-1250+175+12</f>
        <v>-1063</v>
      </c>
      <c r="I683" s="340"/>
      <c r="J683" s="340"/>
      <c r="K683" s="340"/>
      <c r="L683" s="341" t="s">
        <v>618</v>
      </c>
      <c r="M683" s="350" t="str">
        <f aca="false">YEAR('LT records'!$B683)&amp;"-"&amp;MONTH('LT records'!$B683)</f>
        <v>2020-4</v>
      </c>
      <c r="N683" s="343" t="n">
        <f aca="false">'LT records'!$H683+'LT records'!$I683</f>
        <v>-1063</v>
      </c>
    </row>
    <row r="684" customFormat="false" ht="12.8" hidden="false" customHeight="false" outlineLevel="0" collapsed="false">
      <c r="B684" s="351" t="n">
        <v>43946</v>
      </c>
      <c r="C684" s="348" t="n">
        <f aca="false">YEAR('LT records'!$B684)</f>
        <v>2020</v>
      </c>
      <c r="D684" s="346" t="str">
        <f aca="false">'LT records'!$C684&amp;"-"&amp;MONTH('LT records'!$B684)</f>
        <v>2020-4</v>
      </c>
      <c r="E684" s="324" t="s">
        <v>423</v>
      </c>
      <c r="F684" s="324" t="str">
        <f aca="false">LEFT('LT records'!$E684,3)</f>
        <v>Sma</v>
      </c>
      <c r="G684" s="354" t="str">
        <f aca="false">IF(OR('LT records'!$F684="MyF", 'LT records'!$F684="DEP"),"DEP",IF('LT records'!$F684="CSH","CSH",IF('LT records'!$F684="BON","BND",IF('LT records'!$F684="Sma","MKT",IF(OR('LT records'!$F684="Val", 'LT records'!$F684="EUR"),"FCY",IF('LT records'!$F684="X-P","PP3",IF('LT records'!$F684="X-m","XAU","???")))))))</f>
        <v>MKT</v>
      </c>
      <c r="H684" s="325" t="n">
        <v>1100</v>
      </c>
      <c r="I684" s="340"/>
      <c r="J684" s="340"/>
      <c r="K684" s="340"/>
      <c r="L684" s="341" t="s">
        <v>460</v>
      </c>
      <c r="M684" s="350" t="str">
        <f aca="false">YEAR('LT records'!$B684)&amp;"-"&amp;MONTH('LT records'!$B684)</f>
        <v>2020-4</v>
      </c>
      <c r="N684" s="343" t="n">
        <f aca="false">'LT records'!$H684+'LT records'!$I684</f>
        <v>1100</v>
      </c>
    </row>
    <row r="685" customFormat="false" ht="12.8" hidden="false" customHeight="false" outlineLevel="0" collapsed="false">
      <c r="B685" s="351" t="n">
        <v>43946</v>
      </c>
      <c r="C685" s="348" t="n">
        <f aca="false">YEAR('LT records'!$B685)</f>
        <v>2020</v>
      </c>
      <c r="D685" s="346" t="str">
        <f aca="false">'LT records'!$C685&amp;"-"&amp;MONTH('LT records'!$B685)</f>
        <v>2020-4</v>
      </c>
      <c r="E685" s="324" t="s">
        <v>318</v>
      </c>
      <c r="F685" s="324" t="str">
        <f aca="false">LEFT('LT records'!$E685,3)</f>
        <v>X-P</v>
      </c>
      <c r="G685" s="354" t="str">
        <f aca="false">IF(OR('LT records'!$F685="MyF", 'LT records'!$F685="DEP"),"DEP",IF('LT records'!$F685="CSH","CSH",IF('LT records'!$F685="BON","BND",IF('LT records'!$F685="Sma","MKT",IF(OR('LT records'!$F685="Val", 'LT records'!$F685="EUR"),"FCY",IF('LT records'!$F685="X-P","PP3",IF('LT records'!$F685="X-m","XAU","???")))))))</f>
        <v>PP3</v>
      </c>
      <c r="H685" s="325" t="n">
        <v>400</v>
      </c>
      <c r="I685" s="340"/>
      <c r="J685" s="340"/>
      <c r="K685" s="340"/>
      <c r="L685" s="341" t="s">
        <v>595</v>
      </c>
      <c r="M685" s="350" t="str">
        <f aca="false">YEAR('LT records'!$B685)&amp;"-"&amp;MONTH('LT records'!$B685)</f>
        <v>2020-4</v>
      </c>
      <c r="N685" s="343" t="n">
        <f aca="false">'LT records'!$H685+'LT records'!$I685</f>
        <v>400</v>
      </c>
    </row>
    <row r="686" customFormat="false" ht="12.8" hidden="false" customHeight="false" outlineLevel="0" collapsed="false">
      <c r="B686" s="351" t="n">
        <v>43949</v>
      </c>
      <c r="C686" s="348" t="n">
        <f aca="false">YEAR('LT records'!$B686)</f>
        <v>2020</v>
      </c>
      <c r="D686" s="346" t="str">
        <f aca="false">'LT records'!$C686&amp;"-"&amp;MONTH('LT records'!$B686)</f>
        <v>2020-4</v>
      </c>
      <c r="E686" s="324" t="s">
        <v>14</v>
      </c>
      <c r="F686" s="324" t="str">
        <f aca="false">LEFT('LT records'!$E686,3)</f>
        <v>CSH</v>
      </c>
      <c r="G686" s="354" t="str">
        <f aca="false">IF(OR('LT records'!$F686="MyF", 'LT records'!$F686="DEP"),"DEP",IF('LT records'!$F686="CSH","CSH",IF('LT records'!$F686="BON","BND",IF('LT records'!$F686="Sma","MKT",IF(OR('LT records'!$F686="Val", 'LT records'!$F686="EUR"),"FCY",IF('LT records'!$F686="X-P","PP3",IF('LT records'!$F686="X-m","XAU","???")))))))</f>
        <v>CSH</v>
      </c>
      <c r="H686" s="325" t="n">
        <v>50</v>
      </c>
      <c r="I686" s="340" t="n">
        <v>8.47</v>
      </c>
      <c r="J686" s="340"/>
      <c r="K686" s="340"/>
      <c r="L686" s="341" t="s">
        <v>568</v>
      </c>
      <c r="M686" s="350" t="str">
        <f aca="false">YEAR('LT records'!$B686)&amp;"-"&amp;MONTH('LT records'!$B686)</f>
        <v>2020-4</v>
      </c>
      <c r="N686" s="343" t="n">
        <f aca="false">'LT records'!$H686+'LT records'!$I686</f>
        <v>58.47</v>
      </c>
    </row>
    <row r="687" customFormat="false" ht="12.8" hidden="false" customHeight="false" outlineLevel="0" collapsed="false">
      <c r="B687" s="351" t="n">
        <v>43949</v>
      </c>
      <c r="C687" s="348" t="n">
        <f aca="false">YEAR('LT records'!$B687)</f>
        <v>2020</v>
      </c>
      <c r="D687" s="346" t="str">
        <f aca="false">'LT records'!$C687&amp;"-"&amp;MONTH('LT records'!$B687)</f>
        <v>2020-4</v>
      </c>
      <c r="E687" s="324" t="s">
        <v>444</v>
      </c>
      <c r="F687" s="324" t="str">
        <f aca="false">LEFT('LT records'!$E687,3)</f>
        <v>Val</v>
      </c>
      <c r="G687" s="354" t="str">
        <f aca="false">IF(OR('LT records'!$F687="MyF", 'LT records'!$F687="DEP"),"DEP",IF('LT records'!$F687="CSH","CSH",IF('LT records'!$F687="BON","BND",IF('LT records'!$F687="Sma","MKT",IF(OR('LT records'!$F687="Val", 'LT records'!$F687="EUR"),"FCY",IF('LT records'!$F687="X-P","PP3",IF('LT records'!$F687="X-m","XAU","???")))))))</f>
        <v>FCY</v>
      </c>
      <c r="H687" s="325" t="n">
        <v>0</v>
      </c>
      <c r="I687" s="340"/>
      <c r="J687" s="340"/>
      <c r="K687" s="340" t="n">
        <v>0.15</v>
      </c>
      <c r="L687" s="341" t="s">
        <v>40</v>
      </c>
      <c r="M687" s="350" t="str">
        <f aca="false">YEAR('LT records'!$B687)&amp;"-"&amp;MONTH('LT records'!$B687)</f>
        <v>2020-4</v>
      </c>
      <c r="N687" s="343" t="n">
        <f aca="false">'LT records'!$H687+'LT records'!$I687</f>
        <v>0</v>
      </c>
    </row>
    <row r="688" customFormat="false" ht="12.8" hidden="false" customHeight="false" outlineLevel="0" collapsed="false">
      <c r="B688" s="351" t="n">
        <v>43955</v>
      </c>
      <c r="C688" s="348" t="n">
        <f aca="false">YEAR('LT records'!$B688)</f>
        <v>2020</v>
      </c>
      <c r="D688" s="346" t="str">
        <f aca="false">'LT records'!$C688&amp;"-"&amp;MONTH('LT records'!$B688)</f>
        <v>2020-5</v>
      </c>
      <c r="E688" s="324" t="s">
        <v>14</v>
      </c>
      <c r="F688" s="324" t="str">
        <f aca="false">LEFT('LT records'!$E688,3)</f>
        <v>CSH</v>
      </c>
      <c r="G688" s="354" t="str">
        <f aca="false">IF(OR('LT records'!$F688="MyF", 'LT records'!$F688="DEP"),"DEP",IF('LT records'!$F688="CSH","CSH",IF('LT records'!$F688="BON","BND",IF('LT records'!$F688="Sma","MKT",IF(OR('LT records'!$F688="Val", 'LT records'!$F688="EUR"),"FCY",IF('LT records'!$F688="X-P","PP3",IF('LT records'!$F688="X-m","XAU","???")))))))</f>
        <v>CSH</v>
      </c>
      <c r="H688" s="325" t="n">
        <v>-3649.97</v>
      </c>
      <c r="I688" s="340"/>
      <c r="J688" s="340"/>
      <c r="K688" s="340"/>
      <c r="L688" s="341" t="s">
        <v>659</v>
      </c>
      <c r="M688" s="350" t="str">
        <f aca="false">YEAR('LT records'!$B688)&amp;"-"&amp;MONTH('LT records'!$B688)</f>
        <v>2020-5</v>
      </c>
      <c r="N688" s="343" t="n">
        <f aca="false">'LT records'!$H688+'LT records'!$I688</f>
        <v>-3649.97</v>
      </c>
    </row>
    <row r="689" customFormat="false" ht="12.8" hidden="false" customHeight="false" outlineLevel="0" collapsed="false">
      <c r="B689" s="351" t="n">
        <v>43955</v>
      </c>
      <c r="C689" s="348" t="n">
        <f aca="false">YEAR('LT records'!$B689)</f>
        <v>2020</v>
      </c>
      <c r="D689" s="346" t="str">
        <f aca="false">'LT records'!$C689&amp;"-"&amp;MONTH('LT records'!$B689)</f>
        <v>2020-5</v>
      </c>
      <c r="E689" s="324" t="s">
        <v>298</v>
      </c>
      <c r="F689" s="324" t="str">
        <f aca="false">LEFT('LT records'!$E689,3)</f>
        <v>DEP</v>
      </c>
      <c r="G689" s="354" t="str">
        <f aca="false">IF(OR('LT records'!$F689="MyF", 'LT records'!$F689="DEP"),"DEP",IF('LT records'!$F689="CSH","CSH",IF('LT records'!$F689="BON","BND",IF('LT records'!$F689="Sma","MKT",IF(OR('LT records'!$F689="Val", 'LT records'!$F689="EUR"),"FCY",IF('LT records'!$F689="X-P","PP3",IF('LT records'!$F689="X-m","XAU","???")))))))</f>
        <v>DEP</v>
      </c>
      <c r="H689" s="325" t="n">
        <v>3650.97</v>
      </c>
      <c r="I689" s="340" t="n">
        <v>349.03</v>
      </c>
      <c r="J689" s="340"/>
      <c r="K689" s="340"/>
      <c r="L689" s="341" t="s">
        <v>660</v>
      </c>
      <c r="M689" s="350" t="str">
        <f aca="false">YEAR('LT records'!$B689)&amp;"-"&amp;MONTH('LT records'!$B689)</f>
        <v>2020-5</v>
      </c>
      <c r="N689" s="343" t="n">
        <f aca="false">'LT records'!$H689+'LT records'!$I689</f>
        <v>4000</v>
      </c>
    </row>
    <row r="690" customFormat="false" ht="12.8" hidden="false" customHeight="false" outlineLevel="0" collapsed="false">
      <c r="B690" s="351" t="n">
        <v>43955</v>
      </c>
      <c r="C690" s="348" t="n">
        <f aca="false">YEAR('LT records'!$B690)</f>
        <v>2020</v>
      </c>
      <c r="D690" s="346" t="str">
        <f aca="false">'LT records'!$C690&amp;"-"&amp;MONTH('LT records'!$B690)</f>
        <v>2020-5</v>
      </c>
      <c r="E690" s="324" t="s">
        <v>444</v>
      </c>
      <c r="F690" s="324" t="str">
        <f aca="false">LEFT('LT records'!$E690,3)</f>
        <v>Val</v>
      </c>
      <c r="G690" s="354" t="str">
        <f aca="false">IF(OR('LT records'!$F690="MyF", 'LT records'!$F690="DEP"),"DEP",IF('LT records'!$F690="CSH","CSH",IF('LT records'!$F690="BON","BND",IF('LT records'!$F690="Sma","MKT",IF(OR('LT records'!$F690="Val", 'LT records'!$F690="EUR"),"FCY",IF('LT records'!$F690="X-P","PP3",IF('LT records'!$F690="X-m","XAU","???")))))))</f>
        <v>FCY</v>
      </c>
      <c r="H690" s="325" t="n">
        <v>0</v>
      </c>
      <c r="I690" s="340"/>
      <c r="J690" s="340" t="n">
        <v>-86.33</v>
      </c>
      <c r="K690" s="340"/>
      <c r="L690" s="341" t="s">
        <v>659</v>
      </c>
      <c r="M690" s="350" t="str">
        <f aca="false">YEAR('LT records'!$B690)&amp;"-"&amp;MONTH('LT records'!$B690)</f>
        <v>2020-5</v>
      </c>
      <c r="N690" s="343" t="n">
        <f aca="false">'LT records'!$H690+'LT records'!$I690</f>
        <v>0</v>
      </c>
    </row>
    <row r="691" customFormat="false" ht="12.8" hidden="false" customHeight="false" outlineLevel="0" collapsed="false">
      <c r="B691" s="351" t="n">
        <v>43955</v>
      </c>
      <c r="C691" s="348" t="n">
        <f aca="false">YEAR('LT records'!$B691)</f>
        <v>2020</v>
      </c>
      <c r="D691" s="346" t="str">
        <f aca="false">'LT records'!$C691&amp;"-"&amp;MONTH('LT records'!$B691)</f>
        <v>2020-5</v>
      </c>
      <c r="E691" s="324" t="s">
        <v>468</v>
      </c>
      <c r="F691" s="324" t="str">
        <f aca="false">LEFT('LT records'!$E691,3)</f>
        <v>EUR</v>
      </c>
      <c r="G691" s="354" t="str">
        <f aca="false">IF(OR('LT records'!$F691="MyF", 'LT records'!$F691="DEP"),"DEP",IF('LT records'!$F691="CSH","CSH",IF('LT records'!$F691="BON","BND",IF('LT records'!$F691="Sma","MKT",IF(OR('LT records'!$F691="Val", 'LT records'!$F691="EUR"),"FCY",IF('LT records'!$F691="X-P","PP3",IF('LT records'!$F691="X-m","XAU","???")))))))</f>
        <v>FCY</v>
      </c>
      <c r="H691" s="325" t="n">
        <v>0</v>
      </c>
      <c r="I691" s="340"/>
      <c r="J691" s="340" t="n">
        <v>86.33</v>
      </c>
      <c r="K691" s="340" t="n">
        <v>3.67</v>
      </c>
      <c r="L691" s="341" t="s">
        <v>661</v>
      </c>
      <c r="M691" s="350" t="str">
        <f aca="false">YEAR('LT records'!$B691)&amp;"-"&amp;MONTH('LT records'!$B691)</f>
        <v>2020-5</v>
      </c>
      <c r="N691" s="343" t="n">
        <f aca="false">'LT records'!$H691+'LT records'!$I691</f>
        <v>0</v>
      </c>
    </row>
    <row r="692" customFormat="false" ht="12.8" hidden="false" customHeight="false" outlineLevel="0" collapsed="false">
      <c r="B692" s="351" t="n">
        <v>43966</v>
      </c>
      <c r="C692" s="348" t="n">
        <f aca="false">YEAR('LT records'!$B692)</f>
        <v>2020</v>
      </c>
      <c r="D692" s="346" t="str">
        <f aca="false">'LT records'!$C692&amp;"-"&amp;MONTH('LT records'!$B692)</f>
        <v>2020-5</v>
      </c>
      <c r="E692" s="324" t="s">
        <v>14</v>
      </c>
      <c r="F692" s="324" t="str">
        <f aca="false">LEFT('LT records'!$E692,3)</f>
        <v>CSH</v>
      </c>
      <c r="G692" s="354" t="str">
        <f aca="false">IF(OR('LT records'!$F692="MyF", 'LT records'!$F692="DEP"),"DEP",IF('LT records'!$F692="CSH","CSH",IF('LT records'!$F692="BON","BND",IF('LT records'!$F692="Sma","MKT",IF(OR('LT records'!$F692="Val", 'LT records'!$F692="EUR"),"FCY",IF('LT records'!$F692="X-P","PP3",IF('LT records'!$F692="X-m","XAU","???")))))))</f>
        <v>CSH</v>
      </c>
      <c r="H692" s="325" t="n">
        <f aca="false">-1000+92-150+31-200+31-250+13-200+49-150+32-200+19-1645+78-200+36-200+63-2003-79</f>
        <v>-5833</v>
      </c>
      <c r="I692" s="340"/>
      <c r="J692" s="340"/>
      <c r="K692" s="340"/>
      <c r="L692" s="341" t="s">
        <v>618</v>
      </c>
      <c r="M692" s="350" t="str">
        <f aca="false">YEAR('LT records'!$B692)&amp;"-"&amp;MONTH('LT records'!$B692)</f>
        <v>2020-5</v>
      </c>
      <c r="N692" s="343" t="n">
        <f aca="false">'LT records'!$H692+'LT records'!$I692</f>
        <v>-5833</v>
      </c>
    </row>
    <row r="693" customFormat="false" ht="12.8" hidden="false" customHeight="false" outlineLevel="0" collapsed="false">
      <c r="B693" s="351" t="n">
        <v>43976</v>
      </c>
      <c r="C693" s="348" t="n">
        <f aca="false">YEAR('LT records'!$B693)</f>
        <v>2020</v>
      </c>
      <c r="D693" s="346" t="str">
        <f aca="false">'LT records'!$C693&amp;"-"&amp;MONTH('LT records'!$B693)</f>
        <v>2020-5</v>
      </c>
      <c r="E693" s="324" t="s">
        <v>318</v>
      </c>
      <c r="F693" s="324" t="str">
        <f aca="false">LEFT('LT records'!$E693,3)</f>
        <v>X-P</v>
      </c>
      <c r="G693" s="354" t="str">
        <f aca="false">IF(OR('LT records'!$F693="MyF", 'LT records'!$F693="DEP"),"DEP",IF('LT records'!$F693="CSH","CSH",IF('LT records'!$F693="BON","BND",IF('LT records'!$F693="Sma","MKT",IF(OR('LT records'!$F693="Val", 'LT records'!$F693="EUR"),"FCY",IF('LT records'!$F693="X-P","PP3",IF('LT records'!$F693="X-m","XAU","???")))))))</f>
        <v>PP3</v>
      </c>
      <c r="H693" s="325" t="n">
        <v>200</v>
      </c>
      <c r="I693" s="340"/>
      <c r="J693" s="340"/>
      <c r="K693" s="340"/>
      <c r="L693" s="341" t="s">
        <v>662</v>
      </c>
      <c r="M693" s="350" t="str">
        <f aca="false">YEAR('LT records'!$B693)&amp;"-"&amp;MONTH('LT records'!$B693)</f>
        <v>2020-5</v>
      </c>
      <c r="N693" s="343" t="n">
        <f aca="false">'LT records'!$H693+'LT records'!$I693</f>
        <v>200</v>
      </c>
    </row>
    <row r="694" customFormat="false" ht="12.8" hidden="false" customHeight="false" outlineLevel="0" collapsed="false">
      <c r="B694" s="351" t="n">
        <v>43979</v>
      </c>
      <c r="C694" s="348" t="n">
        <f aca="false">YEAR('LT records'!$B694)</f>
        <v>2020</v>
      </c>
      <c r="D694" s="346" t="str">
        <f aca="false">'LT records'!$C694&amp;"-"&amp;MONTH('LT records'!$B694)</f>
        <v>2020-5</v>
      </c>
      <c r="E694" s="324" t="s">
        <v>14</v>
      </c>
      <c r="F694" s="324" t="str">
        <f aca="false">LEFT('LT records'!$E694,3)</f>
        <v>CSH</v>
      </c>
      <c r="G694" s="354" t="str">
        <f aca="false">IF(OR('LT records'!$F694="MyF", 'LT records'!$F694="DEP"),"DEP",IF('LT records'!$F694="CSH","CSH",IF('LT records'!$F694="BON","BND",IF('LT records'!$F694="Sma","MKT",IF(OR('LT records'!$F694="Val", 'LT records'!$F694="EUR"),"FCY",IF('LT records'!$F694="X-P","PP3",IF('LT records'!$F694="X-m","XAU","???")))))))</f>
        <v>CSH</v>
      </c>
      <c r="H694" s="325" t="n">
        <v>50</v>
      </c>
      <c r="I694" s="340" t="n">
        <v>7.14</v>
      </c>
      <c r="J694" s="340"/>
      <c r="K694" s="340"/>
      <c r="L694" s="341" t="s">
        <v>663</v>
      </c>
      <c r="M694" s="350" t="str">
        <f aca="false">YEAR('LT records'!$B694)&amp;"-"&amp;MONTH('LT records'!$B694)</f>
        <v>2020-5</v>
      </c>
      <c r="N694" s="343" t="n">
        <f aca="false">'LT records'!$H694+'LT records'!$I694</f>
        <v>57.14</v>
      </c>
    </row>
    <row r="695" customFormat="false" ht="12.8" hidden="false" customHeight="false" outlineLevel="0" collapsed="false">
      <c r="B695" s="351" t="n">
        <v>43979</v>
      </c>
      <c r="C695" s="348" t="n">
        <f aca="false">YEAR('LT records'!$B695)</f>
        <v>2020</v>
      </c>
      <c r="D695" s="346" t="str">
        <f aca="false">'LT records'!$C695&amp;"-"&amp;MONTH('LT records'!$B695)</f>
        <v>2020-5</v>
      </c>
      <c r="E695" s="324" t="s">
        <v>444</v>
      </c>
      <c r="F695" s="324" t="str">
        <f aca="false">LEFT('LT records'!$E695,3)</f>
        <v>Val</v>
      </c>
      <c r="G695" s="354" t="str">
        <f aca="false">IF(OR('LT records'!$F695="MyF", 'LT records'!$F695="DEP"),"DEP",IF('LT records'!$F695="CSH","CSH",IF('LT records'!$F695="BON","BND",IF('LT records'!$F695="Sma","MKT",IF(OR('LT records'!$F695="Val", 'LT records'!$F695="EUR"),"FCY",IF('LT records'!$F695="X-P","PP3",IF('LT records'!$F695="X-m","XAU","???")))))))</f>
        <v>FCY</v>
      </c>
      <c r="H695" s="325" t="n">
        <v>0</v>
      </c>
      <c r="I695" s="340"/>
      <c r="J695" s="340"/>
      <c r="K695" s="340" t="n">
        <v>0.06</v>
      </c>
      <c r="L695" s="341" t="s">
        <v>664</v>
      </c>
      <c r="M695" s="350" t="str">
        <f aca="false">YEAR('LT records'!$B695)&amp;"-"&amp;MONTH('LT records'!$B695)</f>
        <v>2020-5</v>
      </c>
      <c r="N695" s="343" t="n">
        <f aca="false">'LT records'!$H695+'LT records'!$I695</f>
        <v>0</v>
      </c>
    </row>
    <row r="696" customFormat="false" ht="12.8" hidden="false" customHeight="false" outlineLevel="0" collapsed="false">
      <c r="B696" s="351" t="n">
        <v>43983</v>
      </c>
      <c r="C696" s="348" t="n">
        <f aca="false">YEAR('LT records'!$B696)</f>
        <v>2020</v>
      </c>
      <c r="D696" s="346" t="str">
        <f aca="false">'LT records'!$C696&amp;"-"&amp;MONTH('LT records'!$B696)</f>
        <v>2020-6</v>
      </c>
      <c r="E696" s="324" t="s">
        <v>14</v>
      </c>
      <c r="F696" s="324" t="str">
        <f aca="false">LEFT('LT records'!$E696,3)</f>
        <v>CSH</v>
      </c>
      <c r="G696" s="354" t="str">
        <f aca="false">IF(OR('LT records'!$F696="MyF", 'LT records'!$F696="DEP"),"DEP",IF('LT records'!$F696="CSH","CSH",IF('LT records'!$F696="BON","BND",IF('LT records'!$F696="Sma","MKT",IF(OR('LT records'!$F696="Val", 'LT records'!$F696="EUR"),"FCY",IF('LT records'!$F696="X-P","PP3",IF('LT records'!$F696="X-m","XAU","???")))))))</f>
        <v>CSH</v>
      </c>
      <c r="H696" s="325" t="n">
        <f aca="false">-966+212</f>
        <v>-754</v>
      </c>
      <c r="I696" s="340"/>
      <c r="J696" s="340"/>
      <c r="K696" s="340"/>
      <c r="L696" s="341" t="s">
        <v>665</v>
      </c>
      <c r="M696" s="350" t="str">
        <f aca="false">YEAR('LT records'!$B696)&amp;"-"&amp;MONTH('LT records'!$B696)</f>
        <v>2020-6</v>
      </c>
      <c r="N696" s="343" t="n">
        <f aca="false">'LT records'!$H696+'LT records'!$I696</f>
        <v>-754</v>
      </c>
    </row>
    <row r="697" customFormat="false" ht="12.8" hidden="false" customHeight="false" outlineLevel="0" collapsed="false">
      <c r="B697" s="351" t="n">
        <v>43984</v>
      </c>
      <c r="C697" s="348" t="n">
        <f aca="false">YEAR('LT records'!$B697)</f>
        <v>2020</v>
      </c>
      <c r="D697" s="346" t="str">
        <f aca="false">'LT records'!$C697&amp;"-"&amp;MONTH('LT records'!$B697)</f>
        <v>2020-6</v>
      </c>
      <c r="E697" s="324" t="s">
        <v>423</v>
      </c>
      <c r="F697" s="324" t="str">
        <f aca="false">LEFT('LT records'!$E697,3)</f>
        <v>Sma</v>
      </c>
      <c r="G697" s="354" t="str">
        <f aca="false">IF(OR('LT records'!$F697="MyF", 'LT records'!$F697="DEP"),"DEP",IF('LT records'!$F697="CSH","CSH",IF('LT records'!$F697="BON","BND",IF('LT records'!$F697="Sma","MKT",IF(OR('LT records'!$F697="Val", 'LT records'!$F697="EUR"),"FCY",IF('LT records'!$F697="X-P","PP3",IF('LT records'!$F697="X-m","XAU","???")))))))</f>
        <v>MKT</v>
      </c>
      <c r="H697" s="325" t="n">
        <v>-2000</v>
      </c>
      <c r="I697" s="340"/>
      <c r="J697" s="340"/>
      <c r="K697" s="340"/>
      <c r="L697" s="341" t="s">
        <v>666</v>
      </c>
      <c r="M697" s="350" t="str">
        <f aca="false">YEAR('LT records'!$B697)&amp;"-"&amp;MONTH('LT records'!$B697)</f>
        <v>2020-6</v>
      </c>
      <c r="N697" s="343" t="n">
        <f aca="false">'LT records'!$H697+'LT records'!$I697</f>
        <v>-2000</v>
      </c>
    </row>
    <row r="698" customFormat="false" ht="12.8" hidden="false" customHeight="false" outlineLevel="0" collapsed="false">
      <c r="B698" s="351" t="n">
        <v>43986</v>
      </c>
      <c r="C698" s="348" t="n">
        <f aca="false">YEAR('LT records'!$B698)</f>
        <v>2020</v>
      </c>
      <c r="D698" s="346" t="str">
        <f aca="false">'LT records'!$C698&amp;"-"&amp;MONTH('LT records'!$B698)</f>
        <v>2020-6</v>
      </c>
      <c r="E698" s="324" t="s">
        <v>444</v>
      </c>
      <c r="F698" s="324" t="str">
        <f aca="false">LEFT('LT records'!$E698,3)</f>
        <v>Val</v>
      </c>
      <c r="G698" s="354" t="str">
        <f aca="false">IF(OR('LT records'!$F698="MyF", 'LT records'!$F698="DEP"),"DEP",IF('LT records'!$F698="CSH","CSH",IF('LT records'!$F698="BON","BND",IF('LT records'!$F698="Sma","MKT",IF(OR('LT records'!$F698="Val", 'LT records'!$F698="EUR"),"FCY",IF('LT records'!$F698="X-P","PP3",IF('LT records'!$F698="X-m","XAU","???")))))))</f>
        <v>FCY</v>
      </c>
      <c r="H698" s="325" t="n">
        <v>0</v>
      </c>
      <c r="I698" s="340"/>
      <c r="J698" s="340" t="n">
        <v>-86.35</v>
      </c>
      <c r="K698" s="340"/>
      <c r="L698" s="341" t="s">
        <v>40</v>
      </c>
      <c r="M698" s="350" t="str">
        <f aca="false">YEAR('LT records'!$B698)&amp;"-"&amp;MONTH('LT records'!$B698)</f>
        <v>2020-6</v>
      </c>
      <c r="N698" s="343" t="n">
        <f aca="false">'LT records'!$H698+'LT records'!$I698</f>
        <v>0</v>
      </c>
    </row>
    <row r="699" customFormat="false" ht="12.8" hidden="false" customHeight="false" outlineLevel="0" collapsed="false">
      <c r="B699" s="351" t="n">
        <v>43986</v>
      </c>
      <c r="C699" s="348" t="n">
        <f aca="false">YEAR('LT records'!$B699)</f>
        <v>2020</v>
      </c>
      <c r="D699" s="346" t="str">
        <f aca="false">'LT records'!$C699&amp;"-"&amp;MONTH('LT records'!$B699)</f>
        <v>2020-6</v>
      </c>
      <c r="E699" s="324" t="s">
        <v>489</v>
      </c>
      <c r="F699" s="324" t="str">
        <f aca="false">LEFT('LT records'!$E699,3)</f>
        <v>EUR</v>
      </c>
      <c r="G699" s="354" t="str">
        <f aca="false">IF(OR('LT records'!$F699="MyF", 'LT records'!$F699="DEP"),"DEP",IF('LT records'!$F699="CSH","CSH",IF('LT records'!$F699="BON","BND",IF('LT records'!$F699="Sma","MKT",IF(OR('LT records'!$F699="Val", 'LT records'!$F699="EUR"),"FCY",IF('LT records'!$F699="X-P","PP3",IF('LT records'!$F699="X-m","XAU","???")))))))</f>
        <v>FCY</v>
      </c>
      <c r="H699" s="325" t="n">
        <v>0</v>
      </c>
      <c r="I699" s="340"/>
      <c r="J699" s="340" t="n">
        <v>86.35</v>
      </c>
      <c r="K699" s="340" t="n">
        <v>3.65</v>
      </c>
      <c r="L699" s="341" t="s">
        <v>661</v>
      </c>
      <c r="M699" s="350" t="str">
        <f aca="false">YEAR('LT records'!$B699)&amp;"-"&amp;MONTH('LT records'!$B699)</f>
        <v>2020-6</v>
      </c>
      <c r="N699" s="343" t="n">
        <f aca="false">'LT records'!$H699+'LT records'!$I699</f>
        <v>0</v>
      </c>
    </row>
    <row r="700" customFormat="false" ht="12.8" hidden="false" customHeight="false" outlineLevel="0" collapsed="false">
      <c r="B700" s="351" t="n">
        <v>43986</v>
      </c>
      <c r="C700" s="348" t="n">
        <f aca="false">YEAR('LT records'!$B700)</f>
        <v>2020</v>
      </c>
      <c r="D700" s="346" t="str">
        <f aca="false">'LT records'!$C700&amp;"-"&amp;MONTH('LT records'!$B700)</f>
        <v>2020-6</v>
      </c>
      <c r="E700" s="324" t="s">
        <v>300</v>
      </c>
      <c r="F700" s="324" t="str">
        <f aca="false">LEFT('LT records'!$E700,3)</f>
        <v>DEP</v>
      </c>
      <c r="G700" s="354" t="str">
        <f aca="false">IF(OR('LT records'!$F700="MyF", 'LT records'!$F700="DEP"),"DEP",IF('LT records'!$F700="CSH","CSH",IF('LT records'!$F700="BON","BND",IF('LT records'!$F700="Sma","MKT",IF(OR('LT records'!$F700="Val", 'LT records'!$F700="EUR"),"FCY",IF('LT records'!$F700="X-P","PP3",IF('LT records'!$F700="X-m","XAU","???")))))))</f>
        <v>DEP</v>
      </c>
      <c r="H700" s="325" t="n">
        <v>0</v>
      </c>
      <c r="I700" s="340" t="n">
        <v>347.05</v>
      </c>
      <c r="J700" s="340"/>
      <c r="K700" s="340"/>
      <c r="L700" s="341" t="s">
        <v>667</v>
      </c>
      <c r="M700" s="350" t="str">
        <f aca="false">YEAR('LT records'!$B700)&amp;"-"&amp;MONTH('LT records'!$B700)</f>
        <v>2020-6</v>
      </c>
      <c r="N700" s="343" t="n">
        <f aca="false">'LT records'!$H700+'LT records'!$I700</f>
        <v>347.05</v>
      </c>
    </row>
    <row r="701" customFormat="false" ht="12.8" hidden="false" customHeight="false" outlineLevel="0" collapsed="false">
      <c r="B701" s="351" t="n">
        <v>43986</v>
      </c>
      <c r="C701" s="348" t="n">
        <f aca="false">YEAR('LT records'!$B701)</f>
        <v>2020</v>
      </c>
      <c r="D701" s="346" t="str">
        <f aca="false">'LT records'!$C701&amp;"-"&amp;MONTH('LT records'!$B701)</f>
        <v>2020-6</v>
      </c>
      <c r="E701" s="324" t="s">
        <v>311</v>
      </c>
      <c r="F701" s="324" t="str">
        <f aca="false">LEFT('LT records'!$E701,3)</f>
        <v>REN</v>
      </c>
      <c r="G701" s="354" t="str">
        <f aca="false">IF(OR('LT records'!$F701="MyF", 'LT records'!$F701="DEP"),"DEP",IF('LT records'!$F701="CSH","CSH",IF('LT records'!$F701="BON","BND",IF('LT records'!$F701="Sma","MKT",IF(OR('LT records'!$F701="Val", 'LT records'!$F701="EUR"),"FCY",IF('LT records'!$F701="X-P","PP3",IF('LT records'!$F701="X-m","XAU","???")))))))</f>
        <v>???</v>
      </c>
      <c r="H701" s="325" t="n">
        <f aca="false">200+600</f>
        <v>800</v>
      </c>
      <c r="I701" s="340"/>
      <c r="J701" s="340"/>
      <c r="K701" s="340"/>
      <c r="L701" s="341" t="s">
        <v>668</v>
      </c>
      <c r="M701" s="350" t="str">
        <f aca="false">YEAR('LT records'!$B701)&amp;"-"&amp;MONTH('LT records'!$B701)</f>
        <v>2020-6</v>
      </c>
      <c r="N701" s="343" t="n">
        <f aca="false">'LT records'!$H701+'LT records'!$I701</f>
        <v>800</v>
      </c>
    </row>
    <row r="702" customFormat="false" ht="12.8" hidden="false" customHeight="false" outlineLevel="0" collapsed="false">
      <c r="B702" s="351" t="n">
        <v>43993</v>
      </c>
      <c r="C702" s="348" t="n">
        <f aca="false">YEAR('LT records'!$B702)</f>
        <v>2020</v>
      </c>
      <c r="D702" s="346" t="str">
        <f aca="false">'LT records'!$C702&amp;"-"&amp;MONTH('LT records'!$B702)</f>
        <v>2020-6</v>
      </c>
      <c r="E702" s="324" t="s">
        <v>423</v>
      </c>
      <c r="F702" s="324" t="str">
        <f aca="false">LEFT('LT records'!$E702,3)</f>
        <v>Sma</v>
      </c>
      <c r="G702" s="354" t="str">
        <f aca="false">IF(OR('LT records'!$F702="MyF", 'LT records'!$F702="DEP"),"DEP",IF('LT records'!$F702="CSH","CSH",IF('LT records'!$F702="BON","BND",IF('LT records'!$F702="Sma","MKT",IF(OR('LT records'!$F702="Val", 'LT records'!$F702="EUR"),"FCY",IF('LT records'!$F702="X-P","PP3",IF('LT records'!$F702="X-m","XAU","???")))))))</f>
        <v>MKT</v>
      </c>
      <c r="H702" s="325" t="n">
        <v>-6000</v>
      </c>
      <c r="I702" s="340"/>
      <c r="J702" s="340"/>
      <c r="K702" s="340"/>
      <c r="L702" s="341" t="s">
        <v>669</v>
      </c>
      <c r="M702" s="350" t="str">
        <f aca="false">YEAR('LT records'!$B702)&amp;"-"&amp;MONTH('LT records'!$B702)</f>
        <v>2020-6</v>
      </c>
      <c r="N702" s="343" t="n">
        <f aca="false">'LT records'!$H702+'LT records'!$I702</f>
        <v>-6000</v>
      </c>
    </row>
    <row r="703" customFormat="false" ht="12.8" hidden="false" customHeight="false" outlineLevel="0" collapsed="false">
      <c r="B703" s="351" t="n">
        <v>44002</v>
      </c>
      <c r="C703" s="348" t="n">
        <f aca="false">YEAR('LT records'!$B703)</f>
        <v>2020</v>
      </c>
      <c r="D703" s="346" t="str">
        <f aca="false">'LT records'!$C703&amp;"-"&amp;MONTH('LT records'!$B703)</f>
        <v>2020-6</v>
      </c>
      <c r="E703" s="324" t="s">
        <v>311</v>
      </c>
      <c r="F703" s="324" t="str">
        <f aca="false">LEFT('LT records'!$E703,3)</f>
        <v>REN</v>
      </c>
      <c r="G703" s="354" t="str">
        <f aca="false">IF(OR('LT records'!$F703="MyF", 'LT records'!$F703="DEP"),"DEP",IF('LT records'!$F703="CSH","CSH",IF('LT records'!$F703="BON","BND",IF('LT records'!$F703="Sma","MKT",IF(OR('LT records'!$F703="Val", 'LT records'!$F703="EUR"),"FCY",IF('LT records'!$F703="X-P","PP3",IF('LT records'!$F703="X-m","XAU","???")))))))</f>
        <v>???</v>
      </c>
      <c r="H703" s="325" t="n">
        <v>160</v>
      </c>
      <c r="I703" s="340"/>
      <c r="J703" s="340"/>
      <c r="K703" s="340"/>
      <c r="L703" s="341" t="s">
        <v>670</v>
      </c>
      <c r="M703" s="350" t="str">
        <f aca="false">YEAR('LT records'!$B703)&amp;"-"&amp;MONTH('LT records'!$B703)</f>
        <v>2020-6</v>
      </c>
      <c r="N703" s="343" t="n">
        <f aca="false">'LT records'!$H703+'LT records'!$I703</f>
        <v>160</v>
      </c>
    </row>
    <row r="704" customFormat="false" ht="12.8" hidden="false" customHeight="false" outlineLevel="0" collapsed="false">
      <c r="B704" s="351" t="n">
        <v>44004</v>
      </c>
      <c r="C704" s="348" t="n">
        <f aca="false">YEAR('LT records'!$B704)</f>
        <v>2020</v>
      </c>
      <c r="D704" s="346" t="str">
        <f aca="false">'LT records'!$C704&amp;"-"&amp;MONTH('LT records'!$B704)</f>
        <v>2020-6</v>
      </c>
      <c r="E704" s="324" t="s">
        <v>311</v>
      </c>
      <c r="F704" s="324" t="str">
        <f aca="false">LEFT('LT records'!$E704,3)</f>
        <v>REN</v>
      </c>
      <c r="G704" s="354" t="str">
        <f aca="false">IF(OR('LT records'!$F704="MyF", 'LT records'!$F704="DEP"),"DEP",IF('LT records'!$F704="CSH","CSH",IF('LT records'!$F704="BON","BND",IF('LT records'!$F704="Sma","MKT",IF(OR('LT records'!$F704="Val", 'LT records'!$F704="EUR"),"FCY",IF('LT records'!$F704="X-P","PP3",IF('LT records'!$F704="X-m","XAU","???")))))))</f>
        <v>???</v>
      </c>
      <c r="H704" s="325" t="n">
        <f aca="false">40+146+20</f>
        <v>206</v>
      </c>
      <c r="I704" s="340"/>
      <c r="J704" s="340"/>
      <c r="K704" s="340"/>
      <c r="L704" s="341" t="s">
        <v>671</v>
      </c>
      <c r="M704" s="350" t="str">
        <f aca="false">YEAR('LT records'!$B704)&amp;"-"&amp;MONTH('LT records'!$B704)</f>
        <v>2020-6</v>
      </c>
      <c r="N704" s="343" t="n">
        <f aca="false">'LT records'!$H704+'LT records'!$I704</f>
        <v>206</v>
      </c>
    </row>
    <row r="705" customFormat="false" ht="12.8" hidden="false" customHeight="false" outlineLevel="0" collapsed="false">
      <c r="B705" s="351" t="n">
        <v>44004</v>
      </c>
      <c r="C705" s="348" t="n">
        <f aca="false">YEAR('LT records'!$B705)</f>
        <v>2020</v>
      </c>
      <c r="D705" s="346" t="str">
        <f aca="false">'LT records'!$C705&amp;"-"&amp;MONTH('LT records'!$B705)</f>
        <v>2020-6</v>
      </c>
      <c r="E705" s="324" t="s">
        <v>14</v>
      </c>
      <c r="F705" s="324" t="str">
        <f aca="false">LEFT('LT records'!$E705,3)</f>
        <v>CSH</v>
      </c>
      <c r="G705" s="354" t="str">
        <f aca="false">IF(OR('LT records'!$F705="MyF", 'LT records'!$F705="DEP"),"DEP",IF('LT records'!$F705="CSH","CSH",IF('LT records'!$F705="BON","BND",IF('LT records'!$F705="Sma","MKT",IF(OR('LT records'!$F705="Val", 'LT records'!$F705="EUR"),"FCY",IF('LT records'!$F705="X-P","PP3",IF('LT records'!$F705="X-m","XAU","???")))))))</f>
        <v>CSH</v>
      </c>
      <c r="H705" s="325" t="n">
        <f aca="false">-480</f>
        <v>-480</v>
      </c>
      <c r="I705" s="340"/>
      <c r="J705" s="340"/>
      <c r="K705" s="340"/>
      <c r="L705" s="341" t="s">
        <v>672</v>
      </c>
      <c r="M705" s="350" t="str">
        <f aca="false">YEAR('LT records'!$B705)&amp;"-"&amp;MONTH('LT records'!$B705)</f>
        <v>2020-6</v>
      </c>
      <c r="N705" s="343" t="n">
        <f aca="false">'LT records'!$H705+'LT records'!$I705</f>
        <v>-480</v>
      </c>
    </row>
    <row r="706" customFormat="false" ht="12.8" hidden="false" customHeight="false" outlineLevel="0" collapsed="false">
      <c r="B706" s="351" t="n">
        <v>44005</v>
      </c>
      <c r="C706" s="348" t="n">
        <f aca="false">YEAR('LT records'!$B706)</f>
        <v>2020</v>
      </c>
      <c r="D706" s="346" t="str">
        <f aca="false">'LT records'!$C706&amp;"-"&amp;MONTH('LT records'!$B706)</f>
        <v>2020-6</v>
      </c>
      <c r="E706" s="324" t="s">
        <v>311</v>
      </c>
      <c r="F706" s="324" t="str">
        <f aca="false">LEFT('LT records'!$E706,3)</f>
        <v>REN</v>
      </c>
      <c r="G706" s="354" t="str">
        <f aca="false">IF(OR('LT records'!$F706="MyF", 'LT records'!$F706="DEP"),"DEP",IF('LT records'!$F706="CSH","CSH",IF('LT records'!$F706="BON","BND",IF('LT records'!$F706="Sma","MKT",IF(OR('LT records'!$F706="Val", 'LT records'!$F706="EUR"),"FCY",IF('LT records'!$F706="X-P","PP3",IF('LT records'!$F706="X-m","XAU","???")))))))</f>
        <v>???</v>
      </c>
      <c r="H706" s="325" t="n">
        <f aca="false">150-30</f>
        <v>120</v>
      </c>
      <c r="I706" s="340"/>
      <c r="J706" s="340"/>
      <c r="K706" s="340"/>
      <c r="L706" s="341" t="s">
        <v>673</v>
      </c>
      <c r="M706" s="350" t="str">
        <f aca="false">YEAR('LT records'!$B706)&amp;"-"&amp;MONTH('LT records'!$B706)</f>
        <v>2020-6</v>
      </c>
      <c r="N706" s="343" t="n">
        <f aca="false">'LT records'!$H706+'LT records'!$I706</f>
        <v>120</v>
      </c>
    </row>
    <row r="707" customFormat="false" ht="12.8" hidden="false" customHeight="false" outlineLevel="0" collapsed="false">
      <c r="B707" s="351" t="n">
        <v>44007</v>
      </c>
      <c r="C707" s="348" t="n">
        <f aca="false">YEAR('LT records'!$B707)</f>
        <v>2020</v>
      </c>
      <c r="D707" s="346" t="str">
        <f aca="false">'LT records'!$C707&amp;"-"&amp;MONTH('LT records'!$B707)</f>
        <v>2020-6</v>
      </c>
      <c r="E707" s="324" t="s">
        <v>318</v>
      </c>
      <c r="F707" s="324" t="str">
        <f aca="false">LEFT('LT records'!$E707,3)</f>
        <v>X-P</v>
      </c>
      <c r="G707" s="354" t="str">
        <f aca="false">IF(OR('LT records'!$F707="MyF", 'LT records'!$F707="DEP"),"DEP",IF('LT records'!$F707="CSH","CSH",IF('LT records'!$F707="BON","BND",IF('LT records'!$F707="Sma","MKT",IF(OR('LT records'!$F707="Val", 'LT records'!$F707="EUR"),"FCY",IF('LT records'!$F707="X-P","PP3",IF('LT records'!$F707="X-m","XAU","???")))))))</f>
        <v>PP3</v>
      </c>
      <c r="H707" s="325" t="n">
        <v>200</v>
      </c>
      <c r="I707" s="340"/>
      <c r="J707" s="340"/>
      <c r="K707" s="340"/>
      <c r="L707" s="341" t="s">
        <v>662</v>
      </c>
      <c r="M707" s="350" t="str">
        <f aca="false">YEAR('LT records'!$B707)&amp;"-"&amp;MONTH('LT records'!$B707)</f>
        <v>2020-6</v>
      </c>
      <c r="N707" s="343" t="n">
        <f aca="false">'LT records'!$H707+'LT records'!$I707</f>
        <v>200</v>
      </c>
    </row>
    <row r="708" customFormat="false" ht="12.8" hidden="false" customHeight="false" outlineLevel="0" collapsed="false">
      <c r="B708" s="351" t="n">
        <v>44008</v>
      </c>
      <c r="C708" s="348" t="n">
        <f aca="false">YEAR('LT records'!$B708)</f>
        <v>2020</v>
      </c>
      <c r="D708" s="346" t="str">
        <f aca="false">'LT records'!$C708&amp;"-"&amp;MONTH('LT records'!$B708)</f>
        <v>2020-6</v>
      </c>
      <c r="E708" s="324" t="s">
        <v>311</v>
      </c>
      <c r="F708" s="324" t="str">
        <f aca="false">LEFT('LT records'!$E708,3)</f>
        <v>REN</v>
      </c>
      <c r="G708" s="354" t="str">
        <f aca="false">IF(OR('LT records'!$F708="MyF", 'LT records'!$F708="DEP"),"DEP",IF('LT records'!$F708="CSH","CSH",IF('LT records'!$F708="BON","BND",IF('LT records'!$F708="Sma","MKT",IF(OR('LT records'!$F708="Val", 'LT records'!$F708="EUR"),"FCY",IF('LT records'!$F708="X-P","PP3",IF('LT records'!$F708="X-m","XAU","???")))))))</f>
        <v>???</v>
      </c>
      <c r="H708" s="325" t="n">
        <f aca="false">-200+100</f>
        <v>-100</v>
      </c>
      <c r="I708" s="340"/>
      <c r="J708" s="340"/>
      <c r="K708" s="340"/>
      <c r="L708" s="341" t="s">
        <v>674</v>
      </c>
      <c r="M708" s="350" t="str">
        <f aca="false">YEAR('LT records'!$B708)&amp;"-"&amp;MONTH('LT records'!$B708)</f>
        <v>2020-6</v>
      </c>
      <c r="N708" s="343" t="n">
        <f aca="false">'LT records'!$H708+'LT records'!$I708</f>
        <v>-100</v>
      </c>
    </row>
    <row r="709" customFormat="false" ht="12.8" hidden="false" customHeight="false" outlineLevel="0" collapsed="false">
      <c r="B709" s="351" t="n">
        <v>44010</v>
      </c>
      <c r="C709" s="348" t="n">
        <f aca="false">YEAR('LT records'!$B709)</f>
        <v>2020</v>
      </c>
      <c r="D709" s="346" t="str">
        <f aca="false">'LT records'!$C709&amp;"-"&amp;MONTH('LT records'!$B709)</f>
        <v>2020-6</v>
      </c>
      <c r="E709" s="324" t="s">
        <v>14</v>
      </c>
      <c r="F709" s="324" t="str">
        <f aca="false">LEFT('LT records'!$E709,3)</f>
        <v>CSH</v>
      </c>
      <c r="G709" s="354" t="str">
        <f aca="false">IF(OR('LT records'!$F709="MyF", 'LT records'!$F709="DEP"),"DEP",IF('LT records'!$F709="CSH","CSH",IF('LT records'!$F709="BON","BND",IF('LT records'!$F709="Sma","MKT",IF(OR('LT records'!$F709="Val", 'LT records'!$F709="EUR"),"FCY",IF('LT records'!$F709="X-P","PP3",IF('LT records'!$F709="X-m","XAU","???")))))))</f>
        <v>CSH</v>
      </c>
      <c r="H709" s="325" t="n">
        <f aca="false">-58+50</f>
        <v>-8</v>
      </c>
      <c r="I709" s="340" t="n">
        <v>2.81</v>
      </c>
      <c r="J709" s="340"/>
      <c r="K709" s="340"/>
      <c r="L709" s="341" t="s">
        <v>675</v>
      </c>
      <c r="M709" s="350" t="str">
        <f aca="false">YEAR('LT records'!$B709)&amp;"-"&amp;MONTH('LT records'!$B709)</f>
        <v>2020-6</v>
      </c>
      <c r="N709" s="343" t="n">
        <f aca="false">'LT records'!$H709+'LT records'!$I709</f>
        <v>-5.19</v>
      </c>
    </row>
    <row r="710" customFormat="false" ht="12.8" hidden="false" customHeight="false" outlineLevel="0" collapsed="false">
      <c r="B710" s="351" t="n">
        <v>44012</v>
      </c>
      <c r="C710" s="348" t="n">
        <f aca="false">YEAR('LT records'!$B710)</f>
        <v>2020</v>
      </c>
      <c r="D710" s="346" t="str">
        <f aca="false">'LT records'!$C710&amp;"-"&amp;MONTH('LT records'!$B710)</f>
        <v>2020-6</v>
      </c>
      <c r="E710" s="324" t="s">
        <v>636</v>
      </c>
      <c r="F710" s="324" t="str">
        <f aca="false">LEFT('LT records'!$E710,3)</f>
        <v>dep</v>
      </c>
      <c r="G710" s="354" t="str">
        <f aca="false">IF(OR('LT records'!$F710="MyF", 'LT records'!$F710="DEP"),"DEP",IF('LT records'!$F710="CSH","CSH",IF('LT records'!$F710="BON","BND",IF('LT records'!$F710="Sma","MKT",IF(OR('LT records'!$F710="Val", 'LT records'!$F710="EUR"),"FCY",IF('LT records'!$F710="X-P","PP3",IF('LT records'!$F710="X-m","XAU","???")))))))</f>
        <v>DEP</v>
      </c>
      <c r="H710" s="325" t="n">
        <v>-5047.75</v>
      </c>
      <c r="I710" s="340" t="n">
        <v>34.03</v>
      </c>
      <c r="J710" s="340"/>
      <c r="K710" s="340"/>
      <c r="L710" s="341" t="s">
        <v>676</v>
      </c>
      <c r="M710" s="350" t="str">
        <f aca="false">YEAR('LT records'!$B710)&amp;"-"&amp;MONTH('LT records'!$B710)</f>
        <v>2020-6</v>
      </c>
      <c r="N710" s="343" t="n">
        <f aca="false">'LT records'!$H710+'LT records'!$I710</f>
        <v>-5013.72</v>
      </c>
    </row>
    <row r="711" customFormat="false" ht="12.8" hidden="false" customHeight="false" outlineLevel="0" collapsed="false">
      <c r="B711" s="351" t="n">
        <v>44012</v>
      </c>
      <c r="C711" s="348" t="n">
        <f aca="false">YEAR('LT records'!$B711)</f>
        <v>2020</v>
      </c>
      <c r="D711" s="346" t="str">
        <f aca="false">'LT records'!$C711&amp;"-"&amp;MONTH('LT records'!$B711)</f>
        <v>2020-6</v>
      </c>
      <c r="E711" s="324" t="s">
        <v>14</v>
      </c>
      <c r="F711" s="324" t="str">
        <f aca="false">LEFT('LT records'!$E711,3)</f>
        <v>CSH</v>
      </c>
      <c r="G711" s="354" t="str">
        <f aca="false">IF(OR('LT records'!$F711="MyF", 'LT records'!$F711="DEP"),"DEP",IF('LT records'!$F711="CSH","CSH",IF('LT records'!$F711="BON","BND",IF('LT records'!$F711="Sma","MKT",IF(OR('LT records'!$F711="Val", 'LT records'!$F711="EUR"),"FCY",IF('LT records'!$F711="X-P","PP3",IF('LT records'!$F711="X-m","XAU","???")))))))</f>
        <v>CSH</v>
      </c>
      <c r="H711" s="325" t="n">
        <v>5047.75</v>
      </c>
      <c r="I711" s="340"/>
      <c r="J711" s="340"/>
      <c r="K711" s="340"/>
      <c r="L711" s="341" t="s">
        <v>677</v>
      </c>
      <c r="M711" s="350" t="str">
        <f aca="false">YEAR('LT records'!$B711)&amp;"-"&amp;MONTH('LT records'!$B711)</f>
        <v>2020-6</v>
      </c>
      <c r="N711" s="343" t="n">
        <f aca="false">'LT records'!$H711+'LT records'!$I711</f>
        <v>5047.75</v>
      </c>
    </row>
    <row r="712" customFormat="false" ht="12.8" hidden="false" customHeight="false" outlineLevel="0" collapsed="false">
      <c r="B712" s="351" t="n">
        <v>44013</v>
      </c>
      <c r="C712" s="348" t="n">
        <f aca="false">YEAR('LT records'!$B712)</f>
        <v>2020</v>
      </c>
      <c r="D712" s="346" t="str">
        <f aca="false">'LT records'!$C712&amp;"-"&amp;MONTH('LT records'!$B712)</f>
        <v>2020-7</v>
      </c>
      <c r="E712" s="324" t="s">
        <v>311</v>
      </c>
      <c r="F712" s="324" t="str">
        <f aca="false">LEFT('LT records'!$E712,3)</f>
        <v>REN</v>
      </c>
      <c r="G712" s="354" t="str">
        <f aca="false">IF(OR('LT records'!$F712="MyF", 'LT records'!$F712="DEP"),"DEP",IF('LT records'!$F712="CSH","CSH",IF('LT records'!$F712="BON","BND",IF('LT records'!$F712="Sma","MKT",IF(OR('LT records'!$F712="Val", 'LT records'!$F712="EUR"),"FCY",IF('LT records'!$F712="X-P","PP3",IF('LT records'!$F712="X-m","XAU","???")))))))</f>
        <v>???</v>
      </c>
      <c r="H712" s="325" t="n">
        <v>250</v>
      </c>
      <c r="I712" s="340"/>
      <c r="J712" s="340"/>
      <c r="K712" s="340"/>
      <c r="L712" s="341" t="s">
        <v>678</v>
      </c>
      <c r="M712" s="350" t="str">
        <f aca="false">YEAR('LT records'!$B712)&amp;"-"&amp;MONTH('LT records'!$B712)</f>
        <v>2020-7</v>
      </c>
      <c r="N712" s="343" t="n">
        <f aca="false">'LT records'!$H712+'LT records'!$I712</f>
        <v>250</v>
      </c>
    </row>
    <row r="713" customFormat="false" ht="12.8" hidden="false" customHeight="false" outlineLevel="0" collapsed="false">
      <c r="B713" s="351" t="n">
        <v>44015</v>
      </c>
      <c r="C713" s="348" t="n">
        <f aca="false">YEAR('LT records'!$B713)</f>
        <v>2020</v>
      </c>
      <c r="D713" s="346" t="str">
        <f aca="false">'LT records'!$C713&amp;"-"&amp;MONTH('LT records'!$B713)</f>
        <v>2020-7</v>
      </c>
      <c r="E713" s="324" t="s">
        <v>14</v>
      </c>
      <c r="F713" s="324" t="str">
        <f aca="false">LEFT('LT records'!$E713,3)</f>
        <v>CSH</v>
      </c>
      <c r="G713" s="354" t="str">
        <f aca="false">IF(OR('LT records'!$F713="MyF", 'LT records'!$F713="DEP"),"DEP",IF('LT records'!$F713="CSH","CSH",IF('LT records'!$F713="BON","BND",IF('LT records'!$F713="Sma","MKT",IF(OR('LT records'!$F713="Val", 'LT records'!$F713="EUR"),"FCY",IF('LT records'!$F713="X-P","PP3",IF('LT records'!$F713="X-m","XAU","???")))))))</f>
        <v>CSH</v>
      </c>
      <c r="H713" s="325" t="n">
        <v>-1653.03</v>
      </c>
      <c r="I713" s="340"/>
      <c r="J713" s="340"/>
      <c r="K713" s="340"/>
      <c r="L713" s="341" t="s">
        <v>679</v>
      </c>
      <c r="M713" s="350" t="str">
        <f aca="false">YEAR('LT records'!$B713)&amp;"-"&amp;MONTH('LT records'!$B713)</f>
        <v>2020-7</v>
      </c>
      <c r="N713" s="343" t="n">
        <f aca="false">'LT records'!$H713+'LT records'!$I713</f>
        <v>-1653.03</v>
      </c>
    </row>
    <row r="714" customFormat="false" ht="12.8" hidden="false" customHeight="false" outlineLevel="0" collapsed="false">
      <c r="B714" s="351" t="n">
        <v>44015</v>
      </c>
      <c r="C714" s="348" t="n">
        <f aca="false">YEAR('LT records'!$B714)</f>
        <v>2020</v>
      </c>
      <c r="D714" s="346" t="str">
        <f aca="false">'LT records'!$C714&amp;"-"&amp;MONTH('LT records'!$B714)</f>
        <v>2020-7</v>
      </c>
      <c r="E714" s="324" t="s">
        <v>301</v>
      </c>
      <c r="F714" s="324" t="str">
        <f aca="false">LEFT('LT records'!$E714,3)</f>
        <v>DEP</v>
      </c>
      <c r="G714" s="354" t="str">
        <f aca="false">IF(OR('LT records'!$F714="MyF", 'LT records'!$F714="DEP"),"DEP",IF('LT records'!$F714="CSH","CSH",IF('LT records'!$F714="BON","BND",IF('LT records'!$F714="Sma","MKT",IF(OR('LT records'!$F714="Val", 'LT records'!$F714="EUR"),"FCY",IF('LT records'!$F714="X-P","PP3",IF('LT records'!$F714="X-m","XAU","???")))))))</f>
        <v>DEP</v>
      </c>
      <c r="H714" s="325" t="n">
        <v>1653.03</v>
      </c>
      <c r="I714" s="340" t="n">
        <v>346.97</v>
      </c>
      <c r="J714" s="340"/>
      <c r="K714" s="340"/>
      <c r="L714" s="341" t="s">
        <v>680</v>
      </c>
      <c r="M714" s="350" t="str">
        <f aca="false">YEAR('LT records'!$B714)&amp;"-"&amp;MONTH('LT records'!$B714)</f>
        <v>2020-7</v>
      </c>
      <c r="N714" s="343" t="n">
        <f aca="false">'LT records'!$H714+'LT records'!$I714</f>
        <v>2000</v>
      </c>
    </row>
    <row r="715" customFormat="false" ht="12.8" hidden="false" customHeight="false" outlineLevel="0" collapsed="false">
      <c r="B715" s="351" t="n">
        <v>44015</v>
      </c>
      <c r="C715" s="348" t="n">
        <f aca="false">YEAR('LT records'!$B715)</f>
        <v>2020</v>
      </c>
      <c r="D715" s="346" t="str">
        <f aca="false">'LT records'!$C715&amp;"-"&amp;MONTH('LT records'!$B715)</f>
        <v>2020-7</v>
      </c>
      <c r="E715" s="324" t="s">
        <v>444</v>
      </c>
      <c r="F715" s="324" t="str">
        <f aca="false">LEFT('LT records'!$E715,3)</f>
        <v>Val</v>
      </c>
      <c r="G715" s="354" t="str">
        <f aca="false">IF(OR('LT records'!$F715="MyF", 'LT records'!$F715="DEP"),"DEP",IF('LT records'!$F715="CSH","CSH",IF('LT records'!$F715="BON","BND",IF('LT records'!$F715="Sma","MKT",IF(OR('LT records'!$F715="Val", 'LT records'!$F715="EUR"),"FCY",IF('LT records'!$F715="X-P","PP3",IF('LT records'!$F715="X-m","XAU","???")))))))</f>
        <v>FCY</v>
      </c>
      <c r="H715" s="325"/>
      <c r="I715" s="340"/>
      <c r="J715" s="340" t="n">
        <v>-86.35</v>
      </c>
      <c r="K715" s="340"/>
      <c r="L715" s="341" t="s">
        <v>679</v>
      </c>
      <c r="M715" s="350" t="str">
        <f aca="false">YEAR('LT records'!$B715)&amp;"-"&amp;MONTH('LT records'!$B715)</f>
        <v>2020-7</v>
      </c>
      <c r="N715" s="343" t="n">
        <f aca="false">'LT records'!$H715+'LT records'!$I715</f>
        <v>0</v>
      </c>
    </row>
    <row r="716" customFormat="false" ht="12.8" hidden="false" customHeight="false" outlineLevel="0" collapsed="false">
      <c r="B716" s="351" t="n">
        <v>44015</v>
      </c>
      <c r="C716" s="348" t="n">
        <f aca="false">YEAR('LT records'!$B716)</f>
        <v>2020</v>
      </c>
      <c r="D716" s="346" t="str">
        <f aca="false">'LT records'!$C716&amp;"-"&amp;MONTH('LT records'!$B716)</f>
        <v>2020-7</v>
      </c>
      <c r="E716" s="324" t="s">
        <v>498</v>
      </c>
      <c r="F716" s="324" t="str">
        <f aca="false">LEFT('LT records'!$E716,3)</f>
        <v>EUR</v>
      </c>
      <c r="G716" s="354" t="str">
        <f aca="false">IF(OR('LT records'!$F716="MyF", 'LT records'!$F716="DEP"),"DEP",IF('LT records'!$F716="CSH","CSH",IF('LT records'!$F716="BON","BND",IF('LT records'!$F716="Sma","MKT",IF(OR('LT records'!$F716="Val", 'LT records'!$F716="EUR"),"FCY",IF('LT records'!$F716="X-P","PP3",IF('LT records'!$F716="X-m","XAU","???")))))))</f>
        <v>FCY</v>
      </c>
      <c r="H716" s="325" t="n">
        <v>0</v>
      </c>
      <c r="I716" s="340"/>
      <c r="J716" s="340" t="n">
        <v>86.35</v>
      </c>
      <c r="K716" s="340" t="n">
        <v>3.65</v>
      </c>
      <c r="L716" s="341" t="s">
        <v>680</v>
      </c>
      <c r="M716" s="350" t="str">
        <f aca="false">YEAR('LT records'!$B716)&amp;"-"&amp;MONTH('LT records'!$B716)</f>
        <v>2020-7</v>
      </c>
      <c r="N716" s="343" t="n">
        <f aca="false">'LT records'!$H716+'LT records'!$I716</f>
        <v>0</v>
      </c>
    </row>
    <row r="717" customFormat="false" ht="12.8" hidden="false" customHeight="false" outlineLevel="0" collapsed="false">
      <c r="B717" s="351" t="n">
        <v>44018</v>
      </c>
      <c r="C717" s="348" t="n">
        <f aca="false">YEAR('LT records'!$B717)</f>
        <v>2020</v>
      </c>
      <c r="D717" s="346" t="str">
        <f aca="false">'LT records'!$C717&amp;"-"&amp;MONTH('LT records'!$B717)</f>
        <v>2020-7</v>
      </c>
      <c r="E717" s="324" t="s">
        <v>423</v>
      </c>
      <c r="F717" s="324" t="str">
        <f aca="false">LEFT('LT records'!$E717,3)</f>
        <v>Sma</v>
      </c>
      <c r="G717" s="354" t="str">
        <f aca="false">IF(OR('LT records'!$F717="MyF", 'LT records'!$F717="DEP"),"DEP",IF('LT records'!$F717="CSH","CSH",IF('LT records'!$F717="BON","BND",IF('LT records'!$F717="Sma","MKT",IF(OR('LT records'!$F717="Val", 'LT records'!$F717="EUR"),"FCY",IF('LT records'!$F717="X-P","PP3",IF('LT records'!$F717="X-m","XAU","???")))))))</f>
        <v>MKT</v>
      </c>
      <c r="H717" s="325" t="n">
        <v>-4000</v>
      </c>
      <c r="I717" s="340"/>
      <c r="J717" s="340"/>
      <c r="K717" s="340"/>
      <c r="L717" s="341" t="s">
        <v>681</v>
      </c>
      <c r="M717" s="350" t="str">
        <f aca="false">YEAR('LT records'!$B717)&amp;"-"&amp;MONTH('LT records'!$B717)</f>
        <v>2020-7</v>
      </c>
      <c r="N717" s="343" t="n">
        <f aca="false">'LT records'!$H717+'LT records'!$I717</f>
        <v>-4000</v>
      </c>
    </row>
    <row r="718" customFormat="false" ht="12.8" hidden="false" customHeight="false" outlineLevel="0" collapsed="false">
      <c r="B718" s="351" t="n">
        <v>44019</v>
      </c>
      <c r="C718" s="348" t="n">
        <f aca="false">YEAR('LT records'!$B718)</f>
        <v>2020</v>
      </c>
      <c r="D718" s="346" t="str">
        <f aca="false">'LT records'!$C718&amp;"-"&amp;MONTH('LT records'!$B718)</f>
        <v>2020-7</v>
      </c>
      <c r="E718" s="324" t="s">
        <v>311</v>
      </c>
      <c r="F718" s="324" t="str">
        <f aca="false">LEFT('LT records'!$E718,3)</f>
        <v>REN</v>
      </c>
      <c r="G718" s="354" t="str">
        <f aca="false">IF(OR('LT records'!$F718="MyF", 'LT records'!$F718="DEP"),"DEP",IF('LT records'!$F718="CSH","CSH",IF('LT records'!$F718="BON","BND",IF('LT records'!$F718="Sma","MKT",IF(OR('LT records'!$F718="Val", 'LT records'!$F718="EUR"),"FCY",IF('LT records'!$F718="X-P","PP3",IF('LT records'!$F718="X-m","XAU","???")))))))</f>
        <v>???</v>
      </c>
      <c r="H718" s="325" t="n">
        <v>700</v>
      </c>
      <c r="I718" s="340"/>
      <c r="J718" s="340"/>
      <c r="K718" s="340"/>
      <c r="L718" s="341" t="s">
        <v>682</v>
      </c>
      <c r="M718" s="350" t="str">
        <f aca="false">YEAR('LT records'!$B718)&amp;"-"&amp;MONTH('LT records'!$B718)</f>
        <v>2020-7</v>
      </c>
      <c r="N718" s="343" t="n">
        <f aca="false">'LT records'!$H718+'LT records'!$I718</f>
        <v>700</v>
      </c>
    </row>
    <row r="719" customFormat="false" ht="12.8" hidden="false" customHeight="false" outlineLevel="0" collapsed="false">
      <c r="B719" s="351" t="n">
        <v>44021</v>
      </c>
      <c r="C719" s="348" t="n">
        <f aca="false">YEAR('LT records'!$B719)</f>
        <v>2020</v>
      </c>
      <c r="D719" s="346" t="str">
        <f aca="false">'LT records'!$C719&amp;"-"&amp;MONTH('LT records'!$B719)</f>
        <v>2020-7</v>
      </c>
      <c r="E719" s="324" t="s">
        <v>311</v>
      </c>
      <c r="F719" s="324" t="str">
        <f aca="false">LEFT('LT records'!$E719,3)</f>
        <v>REN</v>
      </c>
      <c r="G719" s="354" t="str">
        <f aca="false">IF(OR('LT records'!$F719="MyF", 'LT records'!$F719="DEP"),"DEP",IF('LT records'!$F719="CSH","CSH",IF('LT records'!$F719="BON","BND",IF('LT records'!$F719="Sma","MKT",IF(OR('LT records'!$F719="Val", 'LT records'!$F719="EUR"),"FCY",IF('LT records'!$F719="X-P","PP3",IF('LT records'!$F719="X-m","XAU","???")))))))</f>
        <v>???</v>
      </c>
      <c r="H719" s="325" t="n">
        <v>35</v>
      </c>
      <c r="I719" s="340"/>
      <c r="J719" s="340"/>
      <c r="K719" s="340"/>
      <c r="L719" s="341" t="s">
        <v>678</v>
      </c>
      <c r="M719" s="350" t="str">
        <f aca="false">YEAR('LT records'!$B719)&amp;"-"&amp;MONTH('LT records'!$B719)</f>
        <v>2020-7</v>
      </c>
      <c r="N719" s="343" t="n">
        <f aca="false">'LT records'!$H719+'LT records'!$I719</f>
        <v>35</v>
      </c>
    </row>
    <row r="720" customFormat="false" ht="12.8" hidden="false" customHeight="false" outlineLevel="0" collapsed="false">
      <c r="B720" s="351" t="n">
        <v>44026</v>
      </c>
      <c r="C720" s="348" t="n">
        <f aca="false">YEAR('LT records'!$B720)</f>
        <v>2020</v>
      </c>
      <c r="D720" s="346" t="str">
        <f aca="false">'LT records'!$C720&amp;"-"&amp;MONTH('LT records'!$B720)</f>
        <v>2020-7</v>
      </c>
      <c r="E720" s="324" t="s">
        <v>311</v>
      </c>
      <c r="F720" s="324" t="str">
        <f aca="false">LEFT('LT records'!$E720,3)</f>
        <v>REN</v>
      </c>
      <c r="G720" s="354" t="str">
        <f aca="false">IF(OR('LT records'!$F720="MyF", 'LT records'!$F720="DEP"),"DEP",IF('LT records'!$F720="CSH","CSH",IF('LT records'!$F720="BON","BND",IF('LT records'!$F720="Sma","MKT",IF(OR('LT records'!$F720="Val", 'LT records'!$F720="EUR"),"FCY",IF('LT records'!$F720="X-P","PP3",IF('LT records'!$F720="X-m","XAU","???")))))))</f>
        <v>???</v>
      </c>
      <c r="H720" s="325" t="n">
        <f aca="false">1500+40</f>
        <v>1540</v>
      </c>
      <c r="I720" s="340"/>
      <c r="J720" s="340"/>
      <c r="K720" s="340"/>
      <c r="L720" s="341" t="s">
        <v>683</v>
      </c>
      <c r="M720" s="350" t="str">
        <f aca="false">YEAR('LT records'!$B720)&amp;"-"&amp;MONTH('LT records'!$B720)</f>
        <v>2020-7</v>
      </c>
      <c r="N720" s="343" t="n">
        <f aca="false">'LT records'!$H720+'LT records'!$I720</f>
        <v>1540</v>
      </c>
    </row>
    <row r="721" customFormat="false" ht="12.8" hidden="false" customHeight="false" outlineLevel="0" collapsed="false">
      <c r="B721" s="351" t="n">
        <v>44035</v>
      </c>
      <c r="C721" s="348" t="n">
        <f aca="false">YEAR('LT records'!$B721)</f>
        <v>2020</v>
      </c>
      <c r="D721" s="346" t="str">
        <f aca="false">'LT records'!$C721&amp;"-"&amp;MONTH('LT records'!$B721)</f>
        <v>2020-7</v>
      </c>
      <c r="E721" s="324" t="s">
        <v>311</v>
      </c>
      <c r="F721" s="324" t="str">
        <f aca="false">LEFT('LT records'!$E721,3)</f>
        <v>REN</v>
      </c>
      <c r="G721" s="354" t="str">
        <f aca="false">IF(OR('LT records'!$F721="MyF", 'LT records'!$F721="DEP"),"DEP",IF('LT records'!$F721="CSH","CSH",IF('LT records'!$F721="BON","BND",IF('LT records'!$F721="Sma","MKT",IF(OR('LT records'!$F721="Val", 'LT records'!$F721="EUR"),"FCY",IF('LT records'!$F721="X-P","PP3",IF('LT records'!$F721="X-m","XAU","???")))))))</f>
        <v>???</v>
      </c>
      <c r="H721" s="325" t="n">
        <v>50</v>
      </c>
      <c r="I721" s="340"/>
      <c r="J721" s="340"/>
      <c r="K721" s="340"/>
      <c r="L721" s="341" t="s">
        <v>684</v>
      </c>
      <c r="M721" s="350" t="str">
        <f aca="false">YEAR('LT records'!$B721)&amp;"-"&amp;MONTH('LT records'!$B721)</f>
        <v>2020-7</v>
      </c>
      <c r="N721" s="343" t="n">
        <f aca="false">'LT records'!$H721+'LT records'!$I721</f>
        <v>50</v>
      </c>
    </row>
    <row r="722" customFormat="false" ht="12.8" hidden="false" customHeight="false" outlineLevel="0" collapsed="false">
      <c r="B722" s="351" t="n">
        <v>44035</v>
      </c>
      <c r="C722" s="348" t="n">
        <f aca="false">YEAR('LT records'!$B722)</f>
        <v>2020</v>
      </c>
      <c r="D722" s="346" t="str">
        <f aca="false">'LT records'!$C722&amp;"-"&amp;MONTH('LT records'!$B722)</f>
        <v>2020-7</v>
      </c>
      <c r="E722" s="324" t="s">
        <v>14</v>
      </c>
      <c r="F722" s="324" t="str">
        <f aca="false">LEFT('LT records'!$E722,3)</f>
        <v>CSH</v>
      </c>
      <c r="G722" s="354" t="str">
        <f aca="false">IF(OR('LT records'!$F722="MyF", 'LT records'!$F722="DEP"),"DEP",IF('LT records'!$F722="CSH","CSH",IF('LT records'!$F722="BON","BND",IF('LT records'!$F722="Sma","MKT",IF(OR('LT records'!$F722="Val", 'LT records'!$F722="EUR"),"FCY",IF('LT records'!$F722="X-P","PP3",IF('LT records'!$F722="X-m","XAU","???")))))))</f>
        <v>CSH</v>
      </c>
      <c r="H722" s="325" t="n">
        <f aca="false">-530+10</f>
        <v>-520</v>
      </c>
      <c r="I722" s="340"/>
      <c r="J722" s="340"/>
      <c r="K722" s="340"/>
      <c r="L722" s="341" t="s">
        <v>685</v>
      </c>
      <c r="M722" s="350" t="str">
        <f aca="false">YEAR('LT records'!$B722)&amp;"-"&amp;MONTH('LT records'!$B722)</f>
        <v>2020-7</v>
      </c>
      <c r="N722" s="343" t="n">
        <f aca="false">'LT records'!$H722+'LT records'!$I722</f>
        <v>-520</v>
      </c>
    </row>
    <row r="723" customFormat="false" ht="12.8" hidden="false" customHeight="false" outlineLevel="0" collapsed="false">
      <c r="B723" s="351" t="n">
        <v>44037</v>
      </c>
      <c r="C723" s="348" t="n">
        <f aca="false">YEAR('LT records'!$B723)</f>
        <v>2020</v>
      </c>
      <c r="D723" s="346" t="str">
        <f aca="false">'LT records'!$C723&amp;"-"&amp;MONTH('LT records'!$B723)</f>
        <v>2020-7</v>
      </c>
      <c r="E723" s="324" t="s">
        <v>318</v>
      </c>
      <c r="F723" s="324" t="str">
        <f aca="false">LEFT('LT records'!$E723,3)</f>
        <v>X-P</v>
      </c>
      <c r="G723" s="354" t="str">
        <f aca="false">IF(OR('LT records'!$F723="MyF", 'LT records'!$F723="DEP"),"DEP",IF('LT records'!$F723="CSH","CSH",IF('LT records'!$F723="BON","BND",IF('LT records'!$F723="Sma","MKT",IF(OR('LT records'!$F723="Val", 'LT records'!$F723="EUR"),"FCY",IF('LT records'!$F723="X-P","PP3",IF('LT records'!$F723="X-m","XAU","???")))))))</f>
        <v>PP3</v>
      </c>
      <c r="H723" s="325" t="n">
        <v>200</v>
      </c>
      <c r="I723" s="340"/>
      <c r="J723" s="340"/>
      <c r="K723" s="340"/>
      <c r="L723" s="341" t="s">
        <v>662</v>
      </c>
      <c r="M723" s="350" t="str">
        <f aca="false">YEAR('LT records'!$B723)&amp;"-"&amp;MONTH('LT records'!$B723)</f>
        <v>2020-7</v>
      </c>
      <c r="N723" s="343" t="n">
        <f aca="false">'LT records'!$H723+'LT records'!$I723</f>
        <v>200</v>
      </c>
    </row>
    <row r="724" customFormat="false" ht="12.8" hidden="false" customHeight="false" outlineLevel="0" collapsed="false">
      <c r="B724" s="351" t="n">
        <v>44039</v>
      </c>
      <c r="C724" s="348" t="n">
        <f aca="false">YEAR('LT records'!$B724)</f>
        <v>2020</v>
      </c>
      <c r="D724" s="346" t="str">
        <f aca="false">'LT records'!$C724&amp;"-"&amp;MONTH('LT records'!$B724)</f>
        <v>2020-7</v>
      </c>
      <c r="E724" s="324" t="s">
        <v>14</v>
      </c>
      <c r="F724" s="324" t="str">
        <f aca="false">LEFT('LT records'!$E724,3)</f>
        <v>CSH</v>
      </c>
      <c r="G724" s="354" t="str">
        <f aca="false">IF(OR('LT records'!$F724="MyF", 'LT records'!$F724="DEP"),"DEP",IF('LT records'!$F724="CSH","CSH",IF('LT records'!$F724="BON","BND",IF('LT records'!$F724="Sma","MKT",IF(OR('LT records'!$F724="Val", 'LT records'!$F724="EUR"),"FCY",IF('LT records'!$F724="X-P","PP3",IF('LT records'!$F724="X-m","XAU","???")))))))</f>
        <v>CSH</v>
      </c>
      <c r="H724" s="325" t="n">
        <f aca="false">-28-50+50</f>
        <v>-28</v>
      </c>
      <c r="I724" s="340"/>
      <c r="J724" s="340"/>
      <c r="K724" s="340"/>
      <c r="L724" s="341" t="s">
        <v>686</v>
      </c>
      <c r="M724" s="350" t="str">
        <f aca="false">YEAR('LT records'!$B724)&amp;"-"&amp;MONTH('LT records'!$B724)</f>
        <v>2020-7</v>
      </c>
      <c r="N724" s="343" t="n">
        <f aca="false">'LT records'!$H724+'LT records'!$I724</f>
        <v>-28</v>
      </c>
    </row>
    <row r="725" customFormat="false" ht="12.8" hidden="false" customHeight="false" outlineLevel="0" collapsed="false">
      <c r="B725" s="351" t="n">
        <v>44044</v>
      </c>
      <c r="C725" s="348" t="n">
        <f aca="false">YEAR('LT records'!$B725)</f>
        <v>2020</v>
      </c>
      <c r="D725" s="346" t="str">
        <f aca="false">'LT records'!$C725&amp;"-"&amp;MONTH('LT records'!$B725)</f>
        <v>2020-8</v>
      </c>
      <c r="E725" s="324" t="s">
        <v>423</v>
      </c>
      <c r="F725" s="324" t="str">
        <f aca="false">LEFT('LT records'!$E725,3)</f>
        <v>Sma</v>
      </c>
      <c r="G725" s="354" t="str">
        <f aca="false">IF(OR('LT records'!$F725="MyF", 'LT records'!$F725="DEP"),"DEP",IF('LT records'!$F725="CSH","CSH",IF('LT records'!$F725="BON","BND",IF('LT records'!$F725="Sma","MKT",IF(OR('LT records'!$F725="Val", 'LT records'!$F725="EUR"),"FCY",IF('LT records'!$F725="X-P","PP3",IF('LT records'!$F725="X-m","XAU","???")))))))</f>
        <v>MKT</v>
      </c>
      <c r="H725" s="325" t="n">
        <v>-6000</v>
      </c>
      <c r="I725" s="340"/>
      <c r="J725" s="340"/>
      <c r="K725" s="340"/>
      <c r="L725" s="341" t="s">
        <v>681</v>
      </c>
      <c r="M725" s="350" t="str">
        <f aca="false">YEAR('LT records'!$B725)&amp;"-"&amp;MONTH('LT records'!$B725)</f>
        <v>2020-8</v>
      </c>
      <c r="N725" s="343" t="n">
        <f aca="false">'LT records'!$H725+'LT records'!$I725</f>
        <v>-6000</v>
      </c>
    </row>
    <row r="726" customFormat="false" ht="12.8" hidden="false" customHeight="false" outlineLevel="0" collapsed="false">
      <c r="B726" s="351" t="n">
        <v>44044</v>
      </c>
      <c r="C726" s="348" t="n">
        <f aca="false">YEAR('LT records'!$B726)</f>
        <v>2020</v>
      </c>
      <c r="D726" s="346" t="str">
        <f aca="false">'LT records'!$C726&amp;"-"&amp;MONTH('LT records'!$B726)</f>
        <v>2020-8</v>
      </c>
      <c r="E726" s="324" t="s">
        <v>14</v>
      </c>
      <c r="F726" s="324" t="str">
        <f aca="false">LEFT('LT records'!$E726,3)</f>
        <v>CSH</v>
      </c>
      <c r="G726" s="354" t="str">
        <f aca="false">IF(OR('LT records'!$F726="MyF", 'LT records'!$F726="DEP"),"DEP",IF('LT records'!$F726="CSH","CSH",IF('LT records'!$F726="BON","BND",IF('LT records'!$F726="Sma","MKT",IF(OR('LT records'!$F726="Val", 'LT records'!$F726="EUR"),"FCY",IF('LT records'!$F726="X-P","PP3",IF('LT records'!$F726="X-m","XAU","???")))))))</f>
        <v>CSH</v>
      </c>
      <c r="H726" s="325"/>
      <c r="I726" s="340" t="n">
        <v>5.34</v>
      </c>
      <c r="J726" s="340"/>
      <c r="K726" s="340"/>
      <c r="L726" s="341" t="s">
        <v>40</v>
      </c>
      <c r="M726" s="350" t="str">
        <f aca="false">YEAR('LT records'!$B726)&amp;"-"&amp;MONTH('LT records'!$B726)</f>
        <v>2020-8</v>
      </c>
      <c r="N726" s="343" t="n">
        <f aca="false">'LT records'!$H726+'LT records'!$I726</f>
        <v>5.34</v>
      </c>
    </row>
    <row r="727" customFormat="false" ht="12.8" hidden="false" customHeight="false" outlineLevel="0" collapsed="false">
      <c r="B727" s="351" t="n">
        <v>44046</v>
      </c>
      <c r="C727" s="348" t="n">
        <f aca="false">YEAR('LT records'!$B727)</f>
        <v>2020</v>
      </c>
      <c r="D727" s="346" t="str">
        <f aca="false">'LT records'!$C727&amp;"-"&amp;MONTH('LT records'!$B727)</f>
        <v>2020-8</v>
      </c>
      <c r="E727" s="324" t="s">
        <v>14</v>
      </c>
      <c r="F727" s="324" t="str">
        <f aca="false">LEFT('LT records'!$E727,3)</f>
        <v>CSH</v>
      </c>
      <c r="G727" s="354" t="str">
        <f aca="false">IF(OR('LT records'!$F727="MyF", 'LT records'!$F727="DEP"),"DEP",IF('LT records'!$F727="CSH","CSH",IF('LT records'!$F727="BON","BND",IF('LT records'!$F727="Sma","MKT",IF(OR('LT records'!$F727="Val", 'LT records'!$F727="EUR"),"FCY",IF('LT records'!$F727="X-P","PP3",IF('LT records'!$F727="X-m","XAU","???")))))))</f>
        <v>CSH</v>
      </c>
      <c r="H727" s="325" t="n">
        <v>-1674.75</v>
      </c>
      <c r="I727" s="340"/>
      <c r="J727" s="340"/>
      <c r="K727" s="340"/>
      <c r="L727" s="341" t="s">
        <v>679</v>
      </c>
      <c r="M727" s="350" t="str">
        <f aca="false">YEAR('LT records'!$B727)&amp;"-"&amp;MONTH('LT records'!$B727)</f>
        <v>2020-8</v>
      </c>
      <c r="N727" s="343" t="n">
        <f aca="false">'LT records'!$H727+'LT records'!$I727</f>
        <v>-1674.75</v>
      </c>
      <c r="Q727" s="326"/>
    </row>
    <row r="728" customFormat="false" ht="12.8" hidden="false" customHeight="false" outlineLevel="0" collapsed="false">
      <c r="B728" s="351" t="n">
        <v>44046</v>
      </c>
      <c r="C728" s="348" t="n">
        <f aca="false">YEAR('LT records'!$B728)</f>
        <v>2020</v>
      </c>
      <c r="D728" s="346" t="str">
        <f aca="false">'LT records'!$C728&amp;"-"&amp;MONTH('LT records'!$B728)</f>
        <v>2020-8</v>
      </c>
      <c r="E728" s="324" t="s">
        <v>302</v>
      </c>
      <c r="F728" s="324" t="str">
        <f aca="false">LEFT('LT records'!$E728,3)</f>
        <v>DEP</v>
      </c>
      <c r="G728" s="354" t="str">
        <f aca="false">IF(OR('LT records'!$F728="MyF", 'LT records'!$F728="DEP"),"DEP",IF('LT records'!$F728="CSH","CSH",IF('LT records'!$F728="BON","BND",IF('LT records'!$F728="Sma","MKT",IF(OR('LT records'!$F728="Val", 'LT records'!$F728="EUR"),"FCY",IF('LT records'!$F728="X-P","PP3",IF('LT records'!$F728="X-m","XAU","???")))))))</f>
        <v>DEP</v>
      </c>
      <c r="H728" s="325" t="n">
        <v>1674.75</v>
      </c>
      <c r="I728" s="340" t="n">
        <v>325.25</v>
      </c>
      <c r="J728" s="340"/>
      <c r="K728" s="340"/>
      <c r="L728" s="341" t="s">
        <v>680</v>
      </c>
      <c r="M728" s="350" t="str">
        <f aca="false">YEAR('LT records'!$B728)&amp;"-"&amp;MONTH('LT records'!$B728)</f>
        <v>2020-8</v>
      </c>
      <c r="N728" s="343" t="n">
        <f aca="false">'LT records'!$H728+'LT records'!$I728</f>
        <v>2000</v>
      </c>
      <c r="Q728" s="326"/>
    </row>
    <row r="729" customFormat="false" ht="12.8" hidden="false" customHeight="false" outlineLevel="0" collapsed="false">
      <c r="B729" s="351" t="n">
        <v>44046</v>
      </c>
      <c r="C729" s="348" t="n">
        <f aca="false">YEAR('LT records'!$B729)</f>
        <v>2020</v>
      </c>
      <c r="D729" s="346" t="str">
        <f aca="false">'LT records'!$C729&amp;"-"&amp;MONTH('LT records'!$B729)</f>
        <v>2020-8</v>
      </c>
      <c r="E729" s="324" t="s">
        <v>444</v>
      </c>
      <c r="F729" s="324" t="str">
        <f aca="false">LEFT('LT records'!$E729,3)</f>
        <v>Val</v>
      </c>
      <c r="G729" s="354" t="str">
        <f aca="false">IF(OR('LT records'!$F729="MyF", 'LT records'!$F729="DEP"),"DEP",IF('LT records'!$F729="CSH","CSH",IF('LT records'!$F729="BON","BND",IF('LT records'!$F729="Sma","MKT",IF(OR('LT records'!$F729="Val", 'LT records'!$F729="EUR"),"FCY",IF('LT records'!$F729="X-P","PP3",IF('LT records'!$F729="X-m","XAU","???")))))))</f>
        <v>FCY</v>
      </c>
      <c r="H729" s="325" t="n">
        <v>0</v>
      </c>
      <c r="I729" s="340"/>
      <c r="J729" s="340" t="n">
        <v>-86.34</v>
      </c>
      <c r="K729" s="340"/>
      <c r="L729" s="341" t="s">
        <v>679</v>
      </c>
      <c r="M729" s="350" t="str">
        <f aca="false">YEAR('LT records'!$B729)&amp;"-"&amp;MONTH('LT records'!$B729)</f>
        <v>2020-8</v>
      </c>
      <c r="N729" s="343" t="n">
        <f aca="false">'LT records'!$H729+'LT records'!$I729</f>
        <v>0</v>
      </c>
    </row>
    <row r="730" customFormat="false" ht="12.8" hidden="false" customHeight="false" outlineLevel="0" collapsed="false">
      <c r="B730" s="351" t="n">
        <v>44046</v>
      </c>
      <c r="C730" s="348" t="n">
        <f aca="false">YEAR('LT records'!$B730)</f>
        <v>2020</v>
      </c>
      <c r="D730" s="346" t="str">
        <f aca="false">'LT records'!$C730&amp;"-"&amp;MONTH('LT records'!$B730)</f>
        <v>2020-8</v>
      </c>
      <c r="E730" s="324" t="s">
        <v>510</v>
      </c>
      <c r="F730" s="324" t="str">
        <f aca="false">LEFT('LT records'!$E730,3)</f>
        <v>EUR</v>
      </c>
      <c r="G730" s="354" t="str">
        <f aca="false">IF(OR('LT records'!$F730="MyF", 'LT records'!$F730="DEP"),"DEP",IF('LT records'!$F730="CSH","CSH",IF('LT records'!$F730="BON","BND",IF('LT records'!$F730="Sma","MKT",IF(OR('LT records'!$F730="Val", 'LT records'!$F730="EUR"),"FCY",IF('LT records'!$F730="X-P","PP3",IF('LT records'!$F730="X-m","XAU","???")))))))</f>
        <v>FCY</v>
      </c>
      <c r="H730" s="325" t="n">
        <v>0</v>
      </c>
      <c r="I730" s="340"/>
      <c r="J730" s="340" t="n">
        <v>86.34</v>
      </c>
      <c r="K730" s="340" t="n">
        <v>3.66</v>
      </c>
      <c r="L730" s="341" t="s">
        <v>680</v>
      </c>
      <c r="M730" s="350" t="str">
        <f aca="false">YEAR('LT records'!$B730)&amp;"-"&amp;MONTH('LT records'!$B730)</f>
        <v>2020-8</v>
      </c>
      <c r="N730" s="343" t="n">
        <f aca="false">'LT records'!$H730+'LT records'!$I730</f>
        <v>0</v>
      </c>
      <c r="Q730" s="326"/>
    </row>
    <row r="731" customFormat="false" ht="12.8" hidden="false" customHeight="false" outlineLevel="0" collapsed="false">
      <c r="B731" s="351" t="n">
        <v>44047</v>
      </c>
      <c r="C731" s="348" t="n">
        <f aca="false">YEAR('LT records'!$B731)</f>
        <v>2020</v>
      </c>
      <c r="D731" s="346" t="str">
        <f aca="false">'LT records'!$C731&amp;"-"&amp;MONTH('LT records'!$B731)</f>
        <v>2020-8</v>
      </c>
      <c r="E731" s="324" t="s">
        <v>311</v>
      </c>
      <c r="F731" s="324" t="str">
        <f aca="false">LEFT('LT records'!$E731,3)</f>
        <v>REN</v>
      </c>
      <c r="G731" s="354" t="str">
        <f aca="false">IF(OR('LT records'!$F731="MyF", 'LT records'!$F731="DEP"),"DEP",IF('LT records'!$F731="CSH","CSH",IF('LT records'!$F731="BON","BND",IF('LT records'!$F731="Sma","MKT",IF(OR('LT records'!$F731="Val", 'LT records'!$F731="EUR"),"FCY",IF('LT records'!$F731="X-P","PP3",IF('LT records'!$F731="X-m","XAU","???")))))))</f>
        <v>???</v>
      </c>
      <c r="H731" s="325" t="n">
        <v>50</v>
      </c>
      <c r="I731" s="340"/>
      <c r="J731" s="340"/>
      <c r="K731" s="340"/>
      <c r="L731" s="341" t="s">
        <v>687</v>
      </c>
      <c r="M731" s="350" t="str">
        <f aca="false">YEAR('LT records'!$B731)&amp;"-"&amp;MONTH('LT records'!$B731)</f>
        <v>2020-8</v>
      </c>
      <c r="N731" s="343" t="n">
        <f aca="false">'LT records'!$H731+'LT records'!$I731</f>
        <v>50</v>
      </c>
    </row>
    <row r="732" customFormat="false" ht="12.8" hidden="false" customHeight="false" outlineLevel="0" collapsed="false">
      <c r="B732" s="351" t="n">
        <v>44048</v>
      </c>
      <c r="C732" s="348" t="n">
        <f aca="false">YEAR('LT records'!$B732)</f>
        <v>2020</v>
      </c>
      <c r="D732" s="346" t="str">
        <f aca="false">'LT records'!$C732&amp;"-"&amp;MONTH('LT records'!$B732)</f>
        <v>2020-8</v>
      </c>
      <c r="E732" s="324" t="s">
        <v>311</v>
      </c>
      <c r="F732" s="324" t="str">
        <f aca="false">LEFT('LT records'!$E732,3)</f>
        <v>REN</v>
      </c>
      <c r="G732" s="354" t="str">
        <f aca="false">IF(OR('LT records'!$F732="MyF", 'LT records'!$F732="DEP"),"DEP",IF('LT records'!$F732="CSH","CSH",IF('LT records'!$F732="BON","BND",IF('LT records'!$F732="Sma","MKT",IF(OR('LT records'!$F732="Val", 'LT records'!$F732="EUR"),"FCY",IF('LT records'!$F732="X-P","PP3",IF('LT records'!$F732="X-m","XAU","???")))))))</f>
        <v>???</v>
      </c>
      <c r="H732" s="325" t="n">
        <v>1000</v>
      </c>
      <c r="I732" s="340"/>
      <c r="J732" s="340"/>
      <c r="K732" s="340"/>
      <c r="L732" s="341" t="s">
        <v>682</v>
      </c>
      <c r="M732" s="350" t="str">
        <f aca="false">YEAR('LT records'!$B732)&amp;"-"&amp;MONTH('LT records'!$B732)</f>
        <v>2020-8</v>
      </c>
      <c r="N732" s="343" t="n">
        <f aca="false">'LT records'!$H732+'LT records'!$I732</f>
        <v>1000</v>
      </c>
    </row>
    <row r="733" customFormat="false" ht="12.8" hidden="false" customHeight="false" outlineLevel="0" collapsed="false">
      <c r="B733" s="351" t="n">
        <v>44050</v>
      </c>
      <c r="C733" s="348" t="n">
        <f aca="false">YEAR('LT records'!$B733)</f>
        <v>2020</v>
      </c>
      <c r="D733" s="346" t="str">
        <f aca="false">'LT records'!$C733&amp;"-"&amp;MONTH('LT records'!$B733)</f>
        <v>2020-8</v>
      </c>
      <c r="E733" s="324" t="s">
        <v>14</v>
      </c>
      <c r="F733" s="324" t="str">
        <f aca="false">LEFT('LT records'!$E733,3)</f>
        <v>CSH</v>
      </c>
      <c r="G733" s="354" t="str">
        <f aca="false">IF(OR('LT records'!$F733="MyF", 'LT records'!$F733="DEP"),"DEP",IF('LT records'!$F733="CSH","CSH",IF('LT records'!$F733="BON","BND",IF('LT records'!$F733="Sma","MKT",IF(OR('LT records'!$F733="Val", 'LT records'!$F733="EUR"),"FCY",IF('LT records'!$F733="X-P","PP3",IF('LT records'!$F733="X-m","XAU","???")))))))</f>
        <v>CSH</v>
      </c>
      <c r="H733" s="325" t="n">
        <v>300</v>
      </c>
      <c r="I733" s="340"/>
      <c r="J733" s="340"/>
      <c r="K733" s="340"/>
      <c r="L733" s="341" t="s">
        <v>56</v>
      </c>
      <c r="M733" s="350" t="str">
        <f aca="false">YEAR('LT records'!$B733)&amp;"-"&amp;MONTH('LT records'!$B733)</f>
        <v>2020-8</v>
      </c>
      <c r="N733" s="343" t="n">
        <f aca="false">'LT records'!$H733+'LT records'!$I733</f>
        <v>300</v>
      </c>
    </row>
    <row r="734" customFormat="false" ht="12.8" hidden="false" customHeight="false" outlineLevel="0" collapsed="false">
      <c r="B734" s="351" t="n">
        <v>44064</v>
      </c>
      <c r="C734" s="348" t="n">
        <f aca="false">YEAR('LT records'!$B734)</f>
        <v>2020</v>
      </c>
      <c r="D734" s="346" t="str">
        <f aca="false">'LT records'!$C734&amp;"-"&amp;MONTH('LT records'!$B734)</f>
        <v>2020-8</v>
      </c>
      <c r="E734" s="324" t="s">
        <v>14</v>
      </c>
      <c r="F734" s="324" t="str">
        <f aca="false">LEFT('LT records'!$E734,3)</f>
        <v>CSH</v>
      </c>
      <c r="G734" s="354" t="str">
        <f aca="false">IF(OR('LT records'!$F734="MyF", 'LT records'!$F734="DEP"),"DEP",IF('LT records'!$F734="CSH","CSH",IF('LT records'!$F734="BON","BND",IF('LT records'!$F734="Sma","MKT",IF(OR('LT records'!$F734="Val", 'LT records'!$F734="EUR"),"FCY",IF('LT records'!$F734="X-P","PP3",IF('LT records'!$F734="X-m","XAU","???")))))))</f>
        <v>CSH</v>
      </c>
      <c r="H734" s="325" t="n">
        <f aca="false">-477-201</f>
        <v>-678</v>
      </c>
      <c r="I734" s="340"/>
      <c r="J734" s="340"/>
      <c r="K734" s="340"/>
      <c r="L734" s="341" t="s">
        <v>688</v>
      </c>
      <c r="M734" s="350" t="str">
        <f aca="false">YEAR('LT records'!$B734)&amp;"-"&amp;MONTH('LT records'!$B734)</f>
        <v>2020-8</v>
      </c>
      <c r="N734" s="343" t="n">
        <f aca="false">'LT records'!$H734+'LT records'!$I734</f>
        <v>-678</v>
      </c>
    </row>
    <row r="735" customFormat="false" ht="12.8" hidden="false" customHeight="false" outlineLevel="0" collapsed="false">
      <c r="B735" s="351" t="n">
        <v>44068</v>
      </c>
      <c r="C735" s="348" t="n">
        <f aca="false">YEAR('LT records'!$B735)</f>
        <v>2020</v>
      </c>
      <c r="D735" s="346" t="str">
        <f aca="false">'LT records'!$C735&amp;"-"&amp;MONTH('LT records'!$B735)</f>
        <v>2020-8</v>
      </c>
      <c r="E735" s="324" t="s">
        <v>318</v>
      </c>
      <c r="F735" s="324" t="str">
        <f aca="false">LEFT('LT records'!$E735,3)</f>
        <v>X-P</v>
      </c>
      <c r="G735" s="354" t="str">
        <f aca="false">IF(OR('LT records'!$F735="MyF", 'LT records'!$F735="DEP"),"DEP",IF('LT records'!$F735="CSH","CSH",IF('LT records'!$F735="BON","BND",IF('LT records'!$F735="Sma","MKT",IF(OR('LT records'!$F735="Val", 'LT records'!$F735="EUR"),"FCY",IF('LT records'!$F735="X-P","PP3",IF('LT records'!$F735="X-m","XAU","???")))))))</f>
        <v>PP3</v>
      </c>
      <c r="H735" s="325" t="n">
        <v>200</v>
      </c>
      <c r="I735" s="340"/>
      <c r="J735" s="340"/>
      <c r="K735" s="340"/>
      <c r="L735" s="341" t="s">
        <v>662</v>
      </c>
      <c r="M735" s="350" t="str">
        <f aca="false">YEAR('LT records'!$B735)&amp;"-"&amp;MONTH('LT records'!$B735)</f>
        <v>2020-8</v>
      </c>
      <c r="N735" s="343" t="n">
        <f aca="false">'LT records'!$H735+'LT records'!$I735</f>
        <v>200</v>
      </c>
    </row>
    <row r="736" customFormat="false" ht="12.8" hidden="false" customHeight="false" outlineLevel="0" collapsed="false">
      <c r="B736" s="351" t="n">
        <v>44071</v>
      </c>
      <c r="C736" s="348" t="n">
        <f aca="false">YEAR('LT records'!$B736)</f>
        <v>2020</v>
      </c>
      <c r="D736" s="346" t="str">
        <f aca="false">'LT records'!$C736&amp;"-"&amp;MONTH('LT records'!$B736)</f>
        <v>2020-8</v>
      </c>
      <c r="E736" s="324" t="s">
        <v>14</v>
      </c>
      <c r="F736" s="324" t="str">
        <f aca="false">LEFT('LT records'!$E736,3)</f>
        <v>CSH</v>
      </c>
      <c r="G736" s="354" t="str">
        <f aca="false">IF(OR('LT records'!$F736="MyF", 'LT records'!$F736="DEP"),"DEP",IF('LT records'!$F736="CSH","CSH",IF('LT records'!$F736="BON","BND",IF('LT records'!$F736="Sma","MKT",IF(OR('LT records'!$F736="Val", 'LT records'!$F736="EUR"),"FCY",IF('LT records'!$F736="X-P","PP3",IF('LT records'!$F736="X-m","XAU","???")))))))</f>
        <v>CSH</v>
      </c>
      <c r="H736" s="325" t="n">
        <f aca="false">50+37</f>
        <v>87</v>
      </c>
      <c r="I736" s="340" t="n">
        <v>3.43</v>
      </c>
      <c r="J736" s="340"/>
      <c r="K736" s="340"/>
      <c r="L736" s="341" t="s">
        <v>689</v>
      </c>
      <c r="M736" s="350" t="str">
        <f aca="false">YEAR('LT records'!$B736)&amp;"-"&amp;MONTH('LT records'!$B736)</f>
        <v>2020-8</v>
      </c>
      <c r="N736" s="343" t="n">
        <f aca="false">'LT records'!$H736+'LT records'!$I736</f>
        <v>90.43</v>
      </c>
    </row>
    <row r="737" customFormat="false" ht="12.8" hidden="false" customHeight="false" outlineLevel="0" collapsed="false">
      <c r="B737" s="351" t="n">
        <v>44074</v>
      </c>
      <c r="C737" s="348" t="n">
        <f aca="false">YEAR('LT records'!$B737)</f>
        <v>2020</v>
      </c>
      <c r="D737" s="346" t="str">
        <f aca="false">'LT records'!$C737&amp;"-"&amp;MONTH('LT records'!$B737)</f>
        <v>2020-8</v>
      </c>
      <c r="E737" s="324" t="s">
        <v>423</v>
      </c>
      <c r="F737" s="324" t="str">
        <f aca="false">LEFT('LT records'!$E737,3)</f>
        <v>Sma</v>
      </c>
      <c r="G737" s="354" t="str">
        <f aca="false">IF(OR('LT records'!$F737="MyF", 'LT records'!$F737="DEP"),"DEP",IF('LT records'!$F737="CSH","CSH",IF('LT records'!$F737="BON","BND",IF('LT records'!$F737="Sma","MKT",IF(OR('LT records'!$F737="Val", 'LT records'!$F737="EUR"),"FCY",IF('LT records'!$F737="X-P","PP3",IF('LT records'!$F737="X-m","XAU","???")))))))</f>
        <v>MKT</v>
      </c>
      <c r="H737" s="325" t="n">
        <v>-2467</v>
      </c>
      <c r="I737" s="340"/>
      <c r="J737" s="340"/>
      <c r="K737" s="340"/>
      <c r="L737" s="341" t="s">
        <v>690</v>
      </c>
      <c r="M737" s="350" t="str">
        <f aca="false">YEAR('LT records'!$B737)&amp;"-"&amp;MONTH('LT records'!$B737)</f>
        <v>2020-8</v>
      </c>
      <c r="N737" s="343" t="n">
        <f aca="false">'LT records'!$H737+'LT records'!$I737</f>
        <v>-2467</v>
      </c>
    </row>
    <row r="738" customFormat="false" ht="12.8" hidden="false" customHeight="false" outlineLevel="0" collapsed="false">
      <c r="B738" s="351" t="n">
        <v>44078</v>
      </c>
      <c r="C738" s="348" t="n">
        <f aca="false">YEAR('LT records'!$B738)</f>
        <v>2020</v>
      </c>
      <c r="D738" s="346" t="str">
        <f aca="false">'LT records'!$C738&amp;"-"&amp;MONTH('LT records'!$B738)</f>
        <v>2020-9</v>
      </c>
      <c r="E738" s="324" t="s">
        <v>14</v>
      </c>
      <c r="F738" s="324" t="str">
        <f aca="false">LEFT('LT records'!$E738,3)</f>
        <v>CSH</v>
      </c>
      <c r="G738" s="354" t="str">
        <f aca="false">IF(OR('LT records'!$F738="MyF", 'LT records'!$F738="DEP"),"DEP",IF('LT records'!$F738="CSH","CSH",IF('LT records'!$F738="BON","BND",IF('LT records'!$F738="Sma","MKT",IF(OR('LT records'!$F738="Val", 'LT records'!$F738="EUR"),"FCY",IF('LT records'!$F738="X-P","PP3",IF('LT records'!$F738="X-m","XAU","???")))))))</f>
        <v>CSH</v>
      </c>
      <c r="H738" s="325" t="n">
        <v>-546</v>
      </c>
      <c r="I738" s="340"/>
      <c r="J738" s="340"/>
      <c r="K738" s="340"/>
      <c r="L738" s="341" t="s">
        <v>679</v>
      </c>
      <c r="M738" s="350" t="str">
        <f aca="false">YEAR('LT records'!$B738)&amp;"-"&amp;MONTH('LT records'!$B738)</f>
        <v>2020-9</v>
      </c>
      <c r="N738" s="343" t="n">
        <f aca="false">'LT records'!$H738+'LT records'!$I738</f>
        <v>-546</v>
      </c>
    </row>
    <row r="739" customFormat="false" ht="12.8" hidden="false" customHeight="false" outlineLevel="0" collapsed="false">
      <c r="B739" s="351" t="n">
        <v>44078</v>
      </c>
      <c r="C739" s="348" t="n">
        <f aca="false">YEAR('LT records'!$B739)</f>
        <v>2020</v>
      </c>
      <c r="D739" s="346" t="str">
        <f aca="false">'LT records'!$C739&amp;"-"&amp;MONTH('LT records'!$B739)</f>
        <v>2020-9</v>
      </c>
      <c r="E739" s="324" t="s">
        <v>304</v>
      </c>
      <c r="F739" s="324" t="str">
        <f aca="false">LEFT('LT records'!$E739,3)</f>
        <v>DEP</v>
      </c>
      <c r="G739" s="354" t="str">
        <f aca="false">IF(OR('LT records'!$F739="MyF", 'LT records'!$F739="DEP"),"DEP",IF('LT records'!$F739="CSH","CSH",IF('LT records'!$F739="BON","BND",IF('LT records'!$F739="Sma","MKT",IF(OR('LT records'!$F739="Val", 'LT records'!$F739="EUR"),"FCY",IF('LT records'!$F739="X-P","PP3",IF('LT records'!$F739="X-m","XAU","???")))))))</f>
        <v>DEP</v>
      </c>
      <c r="H739" s="325" t="n">
        <v>546</v>
      </c>
      <c r="I739" s="340" t="n">
        <v>454</v>
      </c>
      <c r="J739" s="340"/>
      <c r="K739" s="340"/>
      <c r="L739" s="341" t="s">
        <v>680</v>
      </c>
      <c r="M739" s="350" t="str">
        <f aca="false">YEAR('LT records'!$B739)&amp;"-"&amp;MONTH('LT records'!$B739)</f>
        <v>2020-9</v>
      </c>
      <c r="N739" s="343" t="n">
        <f aca="false">'LT records'!$H739+'LT records'!$I739</f>
        <v>1000</v>
      </c>
    </row>
    <row r="740" customFormat="false" ht="12.8" hidden="false" customHeight="false" outlineLevel="0" collapsed="false">
      <c r="B740" s="351" t="n">
        <v>44078</v>
      </c>
      <c r="C740" s="348" t="n">
        <f aca="false">YEAR('LT records'!$B740)</f>
        <v>2020</v>
      </c>
      <c r="D740" s="346" t="str">
        <f aca="false">'LT records'!$C740&amp;"-"&amp;MONTH('LT records'!$B740)</f>
        <v>2020-9</v>
      </c>
      <c r="E740" s="324" t="s">
        <v>444</v>
      </c>
      <c r="F740" s="324" t="str">
        <f aca="false">LEFT('LT records'!$E740,3)</f>
        <v>Val</v>
      </c>
      <c r="G740" s="354" t="str">
        <f aca="false">IF(OR('LT records'!$F740="MyF", 'LT records'!$F740="DEP"),"DEP",IF('LT records'!$F740="CSH","CSH",IF('LT records'!$F740="BON","BND",IF('LT records'!$F740="Sma","MKT",IF(OR('LT records'!$F740="Val", 'LT records'!$F740="EUR"),"FCY",IF('LT records'!$F740="X-P","PP3",IF('LT records'!$F740="X-m","XAU","???")))))))</f>
        <v>FCY</v>
      </c>
      <c r="H740" s="325" t="n">
        <v>0</v>
      </c>
      <c r="I740" s="340"/>
      <c r="J740" s="340" t="n">
        <v>-86.36</v>
      </c>
      <c r="K740" s="340"/>
      <c r="L740" s="341" t="s">
        <v>679</v>
      </c>
      <c r="M740" s="350" t="str">
        <f aca="false">YEAR('LT records'!$B740)&amp;"-"&amp;MONTH('LT records'!$B740)</f>
        <v>2020-9</v>
      </c>
      <c r="N740" s="343" t="n">
        <f aca="false">'LT records'!$H740+'LT records'!$I740</f>
        <v>0</v>
      </c>
    </row>
    <row r="741" customFormat="false" ht="12.8" hidden="false" customHeight="false" outlineLevel="0" collapsed="false">
      <c r="B741" s="351" t="n">
        <v>44078</v>
      </c>
      <c r="C741" s="348" t="n">
        <f aca="false">YEAR('LT records'!$B741)</f>
        <v>2020</v>
      </c>
      <c r="D741" s="346" t="str">
        <f aca="false">'LT records'!$C741&amp;"-"&amp;MONTH('LT records'!$B741)</f>
        <v>2020-9</v>
      </c>
      <c r="E741" s="324" t="s">
        <v>517</v>
      </c>
      <c r="F741" s="324" t="str">
        <f aca="false">LEFT('LT records'!$E741,3)</f>
        <v>EUR</v>
      </c>
      <c r="G741" s="354" t="str">
        <f aca="false">IF(OR('LT records'!$F741="MyF", 'LT records'!$F741="DEP"),"DEP",IF('LT records'!$F741="CSH","CSH",IF('LT records'!$F741="BON","BND",IF('LT records'!$F741="Sma","MKT",IF(OR('LT records'!$F741="Val", 'LT records'!$F741="EUR"),"FCY",IF('LT records'!$F741="X-P","PP3",IF('LT records'!$F741="X-m","XAU","???")))))))</f>
        <v>FCY</v>
      </c>
      <c r="H741" s="325" t="n">
        <v>0</v>
      </c>
      <c r="I741" s="340"/>
      <c r="J741" s="340" t="n">
        <v>86.36</v>
      </c>
      <c r="K741" s="340" t="n">
        <f aca="false">4.05-0.41</f>
        <v>3.64</v>
      </c>
      <c r="L741" s="341" t="s">
        <v>680</v>
      </c>
      <c r="M741" s="350" t="str">
        <f aca="false">YEAR('LT records'!$B741)&amp;"-"&amp;MONTH('LT records'!$B741)</f>
        <v>2020-9</v>
      </c>
      <c r="N741" s="343" t="n">
        <f aca="false">'LT records'!$H741+'LT records'!$I741</f>
        <v>0</v>
      </c>
    </row>
    <row r="742" customFormat="false" ht="12.8" hidden="false" customHeight="false" outlineLevel="0" collapsed="false">
      <c r="B742" s="351" t="n">
        <v>44092</v>
      </c>
      <c r="C742" s="348" t="n">
        <f aca="false">YEAR('LT records'!$B742)</f>
        <v>2020</v>
      </c>
      <c r="D742" s="346" t="str">
        <f aca="false">'LT records'!$C742&amp;"-"&amp;MONTH('LT records'!$B742)</f>
        <v>2020-9</v>
      </c>
      <c r="E742" s="324" t="s">
        <v>423</v>
      </c>
      <c r="F742" s="324" t="str">
        <f aca="false">LEFT('LT records'!$E742,3)</f>
        <v>Sma</v>
      </c>
      <c r="G742" s="354" t="str">
        <f aca="false">IF(OR('LT records'!$F742="MyF", 'LT records'!$F742="DEP"),"DEP",IF('LT records'!$F742="CSH","CSH",IF('LT records'!$F742="BON","BND",IF('LT records'!$F742="Sma","MKT",IF(OR('LT records'!$F742="Val", 'LT records'!$F742="EUR"),"FCY",IF('LT records'!$F742="X-P","PP3",IF('LT records'!$F742="X-m","XAU","???")))))))</f>
        <v>MKT</v>
      </c>
      <c r="H742" s="325" t="n">
        <v>-4000</v>
      </c>
      <c r="I742" s="340"/>
      <c r="J742" s="340"/>
      <c r="K742" s="340"/>
      <c r="L742" s="341" t="s">
        <v>690</v>
      </c>
      <c r="M742" s="350" t="str">
        <f aca="false">YEAR('LT records'!$B742)&amp;"-"&amp;MONTH('LT records'!$B742)</f>
        <v>2020-9</v>
      </c>
      <c r="N742" s="343" t="n">
        <f aca="false">'LT records'!$H742+'LT records'!$I742</f>
        <v>-4000</v>
      </c>
    </row>
    <row r="743" customFormat="false" ht="12.8" hidden="false" customHeight="false" outlineLevel="0" collapsed="false">
      <c r="B743" s="351" t="n">
        <v>44096</v>
      </c>
      <c r="C743" s="348" t="n">
        <f aca="false">YEAR('LT records'!$B743)</f>
        <v>2020</v>
      </c>
      <c r="D743" s="346" t="str">
        <f aca="false">'LT records'!$C743&amp;"-"&amp;MONTH('LT records'!$B743)</f>
        <v>2020-9</v>
      </c>
      <c r="E743" s="324" t="s">
        <v>14</v>
      </c>
      <c r="F743" s="324" t="str">
        <f aca="false">LEFT('LT records'!$E743,3)</f>
        <v>CSH</v>
      </c>
      <c r="G743" s="354" t="str">
        <f aca="false">IF(OR('LT records'!$F743="MyF", 'LT records'!$F743="DEP"),"DEP",IF('LT records'!$F743="CSH","CSH",IF('LT records'!$F743="BON","BND",IF('LT records'!$F743="Sma","MKT",IF(OR('LT records'!$F743="Val", 'LT records'!$F743="EUR"),"FCY",IF('LT records'!$F743="X-P","PP3",IF('LT records'!$F743="X-m","XAU","???")))))))</f>
        <v>CSH</v>
      </c>
      <c r="H743" s="325" t="n">
        <f aca="false">-500+10+537</f>
        <v>47</v>
      </c>
      <c r="I743" s="340"/>
      <c r="J743" s="340"/>
      <c r="K743" s="340"/>
      <c r="L743" s="341" t="s">
        <v>480</v>
      </c>
      <c r="M743" s="350" t="str">
        <f aca="false">YEAR('LT records'!$B743)&amp;"-"&amp;MONTH('LT records'!$B743)</f>
        <v>2020-9</v>
      </c>
      <c r="N743" s="343" t="n">
        <f aca="false">'LT records'!$H743+'LT records'!$I743</f>
        <v>47</v>
      </c>
    </row>
    <row r="744" customFormat="false" ht="12.8" hidden="false" customHeight="false" outlineLevel="0" collapsed="false">
      <c r="B744" s="351" t="n">
        <v>44099</v>
      </c>
      <c r="C744" s="348" t="n">
        <f aca="false">YEAR('LT records'!$B744)</f>
        <v>2020</v>
      </c>
      <c r="D744" s="346" t="str">
        <f aca="false">'LT records'!$C744&amp;"-"&amp;MONTH('LT records'!$B744)</f>
        <v>2020-9</v>
      </c>
      <c r="E744" s="324" t="s">
        <v>318</v>
      </c>
      <c r="F744" s="324" t="str">
        <f aca="false">LEFT('LT records'!$E744,3)</f>
        <v>X-P</v>
      </c>
      <c r="G744" s="354" t="str">
        <f aca="false">IF(OR('LT records'!$F744="MyF", 'LT records'!$F744="DEP"),"DEP",IF('LT records'!$F744="CSH","CSH",IF('LT records'!$F744="BON","BND",IF('LT records'!$F744="Sma","MKT",IF(OR('LT records'!$F744="Val", 'LT records'!$F744="EUR"),"FCY",IF('LT records'!$F744="X-P","PP3",IF('LT records'!$F744="X-m","XAU","???")))))))</f>
        <v>PP3</v>
      </c>
      <c r="H744" s="325" t="n">
        <v>200</v>
      </c>
      <c r="I744" s="340"/>
      <c r="J744" s="340"/>
      <c r="K744" s="340"/>
      <c r="L744" s="341" t="s">
        <v>119</v>
      </c>
      <c r="M744" s="350" t="str">
        <f aca="false">YEAR('LT records'!$B744)&amp;"-"&amp;MONTH('LT records'!$B744)</f>
        <v>2020-9</v>
      </c>
      <c r="N744" s="343" t="n">
        <f aca="false">'LT records'!$H744+'LT records'!$I744</f>
        <v>200</v>
      </c>
    </row>
    <row r="745" customFormat="false" ht="12.8" hidden="false" customHeight="false" outlineLevel="0" collapsed="false">
      <c r="B745" s="351" t="n">
        <v>44102</v>
      </c>
      <c r="C745" s="348" t="n">
        <f aca="false">YEAR('LT records'!$B745)</f>
        <v>2020</v>
      </c>
      <c r="D745" s="346" t="str">
        <f aca="false">'LT records'!$C745&amp;"-"&amp;MONTH('LT records'!$B745)</f>
        <v>2020-9</v>
      </c>
      <c r="E745" s="324" t="s">
        <v>14</v>
      </c>
      <c r="F745" s="324" t="str">
        <f aca="false">LEFT('LT records'!$E745,3)</f>
        <v>CSH</v>
      </c>
      <c r="G745" s="354" t="str">
        <f aca="false">IF(OR('LT records'!$F745="MyF", 'LT records'!$F745="DEP"),"DEP",IF('LT records'!$F745="CSH","CSH",IF('LT records'!$F745="BON","BND",IF('LT records'!$F745="Sma","MKT",IF(OR('LT records'!$F745="Val", 'LT records'!$F745="EUR"),"FCY",IF('LT records'!$F745="X-P","PP3",IF('LT records'!$F745="X-m","XAU","???")))))))</f>
        <v>CSH</v>
      </c>
      <c r="H745" s="325" t="n">
        <v>50</v>
      </c>
      <c r="I745" s="340"/>
      <c r="J745" s="340"/>
      <c r="K745" s="340"/>
      <c r="L745" s="341" t="s">
        <v>691</v>
      </c>
      <c r="M745" s="350" t="str">
        <f aca="false">YEAR('LT records'!$B745)&amp;"-"&amp;MONTH('LT records'!$B745)</f>
        <v>2020-9</v>
      </c>
      <c r="N745" s="343" t="n">
        <f aca="false">'LT records'!$H745+'LT records'!$I745</f>
        <v>50</v>
      </c>
    </row>
    <row r="746" customFormat="false" ht="12.8" hidden="false" customHeight="false" outlineLevel="0" collapsed="false">
      <c r="B746" s="351" t="n">
        <v>44105</v>
      </c>
      <c r="C746" s="348" t="n">
        <f aca="false">YEAR('LT records'!$B746)</f>
        <v>2020</v>
      </c>
      <c r="D746" s="346" t="str">
        <f aca="false">'LT records'!$C746&amp;"-"&amp;MONTH('LT records'!$B746)</f>
        <v>2020-10</v>
      </c>
      <c r="E746" s="324" t="s">
        <v>423</v>
      </c>
      <c r="F746" s="324" t="str">
        <f aca="false">LEFT('LT records'!$E746,3)</f>
        <v>Sma</v>
      </c>
      <c r="G746" s="354" t="str">
        <f aca="false">IF(OR('LT records'!$F746="MyF", 'LT records'!$F746="DEP"),"DEP",IF('LT records'!$F746="CSH","CSH",IF('LT records'!$F746="BON","BND",IF('LT records'!$F746="Sma","MKT",IF(OR('LT records'!$F746="Val", 'LT records'!$F746="EUR"),"FCY",IF('LT records'!$F746="X-P","PP3",IF('LT records'!$F746="X-m","XAU","???")))))))</f>
        <v>MKT</v>
      </c>
      <c r="H746" s="325" t="n">
        <v>-2000</v>
      </c>
      <c r="I746" s="340"/>
      <c r="J746" s="340"/>
      <c r="K746" s="340"/>
      <c r="L746" s="341" t="s">
        <v>690</v>
      </c>
      <c r="M746" s="350" t="str">
        <f aca="false">YEAR('LT records'!$B746)&amp;"-"&amp;MONTH('LT records'!$B746)</f>
        <v>2020-10</v>
      </c>
      <c r="N746" s="343" t="n">
        <f aca="false">'LT records'!$H746+'LT records'!$I746</f>
        <v>-2000</v>
      </c>
    </row>
    <row r="747" customFormat="false" ht="12.8" hidden="false" customHeight="false" outlineLevel="0" collapsed="false">
      <c r="B747" s="351" t="n">
        <v>44105</v>
      </c>
      <c r="C747" s="348" t="n">
        <f aca="false">YEAR('LT records'!$B747)</f>
        <v>2020</v>
      </c>
      <c r="D747" s="346" t="str">
        <f aca="false">'LT records'!$C747&amp;"-"&amp;MONTH('LT records'!$B747)</f>
        <v>2020-10</v>
      </c>
      <c r="E747" s="324" t="s">
        <v>14</v>
      </c>
      <c r="F747" s="324" t="str">
        <f aca="false">LEFT('LT records'!$E747,3)</f>
        <v>CSH</v>
      </c>
      <c r="G747" s="354" t="str">
        <f aca="false">IF(OR('LT records'!$F747="MyF", 'LT records'!$F747="DEP"),"DEP",IF('LT records'!$F747="CSH","CSH",IF('LT records'!$F747="BON","BND",IF('LT records'!$F747="Sma","MKT",IF(OR('LT records'!$F747="Val", 'LT records'!$F747="EUR"),"FCY",IF('LT records'!$F747="X-P","PP3",IF('LT records'!$F747="X-m","XAU","???")))))))</f>
        <v>CSH</v>
      </c>
      <c r="H747" s="325" t="n">
        <v>2.79</v>
      </c>
      <c r="I747" s="340"/>
      <c r="J747" s="340"/>
      <c r="K747" s="340"/>
      <c r="L747" s="341" t="s">
        <v>40</v>
      </c>
      <c r="M747" s="350" t="str">
        <f aca="false">YEAR('LT records'!$B747)&amp;"-"&amp;MONTH('LT records'!$B747)</f>
        <v>2020-10</v>
      </c>
      <c r="N747" s="343" t="n">
        <f aca="false">'LT records'!$H747+'LT records'!$I747</f>
        <v>2.79</v>
      </c>
    </row>
    <row r="748" customFormat="false" ht="12.8" hidden="false" customHeight="false" outlineLevel="0" collapsed="false">
      <c r="B748" s="351" t="n">
        <v>44106</v>
      </c>
      <c r="C748" s="348" t="n">
        <f aca="false">YEAR('LT records'!$B748)</f>
        <v>2020</v>
      </c>
      <c r="D748" s="346" t="str">
        <f aca="false">'LT records'!$C748&amp;"-"&amp;MONTH('LT records'!$B748)</f>
        <v>2020-10</v>
      </c>
      <c r="E748" s="324" t="s">
        <v>14</v>
      </c>
      <c r="F748" s="324" t="str">
        <f aca="false">LEFT('LT records'!$E748,3)</f>
        <v>CSH</v>
      </c>
      <c r="G748" s="354" t="str">
        <f aca="false">IF(OR('LT records'!$F748="MyF", 'LT records'!$F748="DEP"),"DEP",IF('LT records'!$F748="CSH","CSH",IF('LT records'!$F748="BON","BND",IF('LT records'!$F748="Sma","MKT",IF(OR('LT records'!$F748="Val", 'LT records'!$F748="EUR"),"FCY",IF('LT records'!$F748="X-P","PP3",IF('LT records'!$F748="X-m","XAU","???")))))))</f>
        <v>CSH</v>
      </c>
      <c r="H748" s="325" t="n">
        <v>-546</v>
      </c>
      <c r="I748" s="340"/>
      <c r="J748" s="340"/>
      <c r="K748" s="340"/>
      <c r="L748" s="341" t="s">
        <v>622</v>
      </c>
      <c r="M748" s="350" t="str">
        <f aca="false">YEAR('LT records'!$B748)&amp;"-"&amp;MONTH('LT records'!$B748)</f>
        <v>2020-10</v>
      </c>
      <c r="N748" s="343" t="n">
        <f aca="false">'LT records'!$H748+'LT records'!$I748</f>
        <v>-546</v>
      </c>
    </row>
    <row r="749" customFormat="false" ht="12.8" hidden="false" customHeight="false" outlineLevel="0" collapsed="false">
      <c r="B749" s="351" t="n">
        <v>44106</v>
      </c>
      <c r="C749" s="348" t="n">
        <f aca="false">YEAR('LT records'!$B749)</f>
        <v>2020</v>
      </c>
      <c r="D749" s="346" t="str">
        <f aca="false">'LT records'!$C749&amp;"-"&amp;MONTH('LT records'!$B749)</f>
        <v>2020-10</v>
      </c>
      <c r="E749" s="324" t="s">
        <v>305</v>
      </c>
      <c r="F749" s="324" t="str">
        <f aca="false">LEFT('LT records'!$E749,3)</f>
        <v>DEP</v>
      </c>
      <c r="G749" s="354" t="str">
        <f aca="false">IF(OR('LT records'!$F749="MyF", 'LT records'!$F749="DEP"),"DEP",IF('LT records'!$F749="CSH","CSH",IF('LT records'!$F749="BON","BND",IF('LT records'!$F749="Sma","MKT",IF(OR('LT records'!$F749="Val", 'LT records'!$F749="EUR"),"FCY",IF('LT records'!$F749="X-P","PP3",IF('LT records'!$F749="X-m","XAU","???")))))))</f>
        <v>DEP</v>
      </c>
      <c r="H749" s="325" t="n">
        <v>546.09</v>
      </c>
      <c r="I749" s="340" t="n">
        <v>453.91</v>
      </c>
      <c r="J749" s="340"/>
      <c r="K749" s="340"/>
      <c r="L749" s="341" t="s">
        <v>692</v>
      </c>
      <c r="M749" s="350" t="str">
        <f aca="false">YEAR('LT records'!$B749)&amp;"-"&amp;MONTH('LT records'!$B749)</f>
        <v>2020-10</v>
      </c>
      <c r="N749" s="343" t="n">
        <f aca="false">'LT records'!$H749+'LT records'!$I749</f>
        <v>1000</v>
      </c>
    </row>
    <row r="750" customFormat="false" ht="12.8" hidden="false" customHeight="false" outlineLevel="0" collapsed="false">
      <c r="B750" s="351" t="n">
        <v>44106</v>
      </c>
      <c r="C750" s="348" t="n">
        <f aca="false">YEAR('LT records'!$B750)</f>
        <v>2020</v>
      </c>
      <c r="D750" s="346" t="str">
        <f aca="false">'LT records'!$C750&amp;"-"&amp;MONTH('LT records'!$B750)</f>
        <v>2020-10</v>
      </c>
      <c r="E750" s="324" t="s">
        <v>444</v>
      </c>
      <c r="F750" s="324" t="str">
        <f aca="false">LEFT('LT records'!$E750,3)</f>
        <v>Val</v>
      </c>
      <c r="G750" s="354" t="str">
        <f aca="false">IF(OR('LT records'!$F750="MyF", 'LT records'!$F750="DEP"),"DEP",IF('LT records'!$F750="CSH","CSH",IF('LT records'!$F750="BON","BND",IF('LT records'!$F750="Sma","MKT",IF(OR('LT records'!$F750="Val", 'LT records'!$F750="EUR"),"FCY",IF('LT records'!$F750="X-P","PP3",IF('LT records'!$F750="X-m","XAU","???")))))))</f>
        <v>FCY</v>
      </c>
      <c r="H750" s="325" t="n">
        <v>0</v>
      </c>
      <c r="I750" s="340"/>
      <c r="J750" s="340" t="n">
        <v>-86.36</v>
      </c>
      <c r="K750" s="340"/>
      <c r="L750" s="341" t="s">
        <v>622</v>
      </c>
      <c r="M750" s="350" t="str">
        <f aca="false">YEAR('LT records'!$B750)&amp;"-"&amp;MONTH('LT records'!$B750)</f>
        <v>2020-10</v>
      </c>
      <c r="N750" s="343" t="n">
        <f aca="false">'LT records'!$H750+'LT records'!$I750</f>
        <v>0</v>
      </c>
    </row>
    <row r="751" customFormat="false" ht="12.8" hidden="false" customHeight="false" outlineLevel="0" collapsed="false">
      <c r="B751" s="351" t="n">
        <v>44106</v>
      </c>
      <c r="C751" s="348" t="n">
        <f aca="false">YEAR('LT records'!$B751)</f>
        <v>2020</v>
      </c>
      <c r="D751" s="346" t="str">
        <f aca="false">'LT records'!$C751&amp;"-"&amp;MONTH('LT records'!$B751)</f>
        <v>2020-10</v>
      </c>
      <c r="E751" s="324" t="s">
        <v>523</v>
      </c>
      <c r="F751" s="324" t="str">
        <f aca="false">LEFT('LT records'!$E751,3)</f>
        <v>EUR</v>
      </c>
      <c r="G751" s="354" t="str">
        <f aca="false">IF(OR('LT records'!$F751="MyF", 'LT records'!$F751="DEP"),"DEP",IF('LT records'!$F751="CSH","CSH",IF('LT records'!$F751="BON","BND",IF('LT records'!$F751="Sma","MKT",IF(OR('LT records'!$F751="Val", 'LT records'!$F751="EUR"),"FCY",IF('LT records'!$F751="X-P","PP3",IF('LT records'!$F751="X-m","XAU","???")))))))</f>
        <v>FCY</v>
      </c>
      <c r="H751" s="325" t="n">
        <v>0</v>
      </c>
      <c r="I751" s="340"/>
      <c r="J751" s="340" t="n">
        <v>86.36</v>
      </c>
      <c r="K751" s="340" t="n">
        <v>3.64</v>
      </c>
      <c r="L751" s="341" t="s">
        <v>692</v>
      </c>
      <c r="M751" s="350" t="str">
        <f aca="false">YEAR('LT records'!$B751)&amp;"-"&amp;MONTH('LT records'!$B751)</f>
        <v>2020-10</v>
      </c>
      <c r="N751" s="343" t="n">
        <f aca="false">'LT records'!$H751+'LT records'!$I751</f>
        <v>0</v>
      </c>
    </row>
    <row r="752" customFormat="false" ht="12.8" hidden="false" customHeight="false" outlineLevel="0" collapsed="false">
      <c r="B752" s="351" t="n">
        <v>44106</v>
      </c>
      <c r="C752" s="348" t="n">
        <f aca="false">YEAR('LT records'!$B752)</f>
        <v>2020</v>
      </c>
      <c r="D752" s="346" t="str">
        <f aca="false">'LT records'!$C752&amp;"-"&amp;MONTH('LT records'!$B752)</f>
        <v>2020-10</v>
      </c>
      <c r="E752" s="324" t="s">
        <v>311</v>
      </c>
      <c r="F752" s="324" t="str">
        <f aca="false">LEFT('LT records'!$E752,3)</f>
        <v>REN</v>
      </c>
      <c r="G752" s="354" t="str">
        <f aca="false">IF(OR('LT records'!$F752="MyF", 'LT records'!$F752="DEP"),"DEP",IF('LT records'!$F752="CSH","CSH",IF('LT records'!$F752="BON","BND",IF('LT records'!$F752="Sma","MKT",IF(OR('LT records'!$F752="Val", 'LT records'!$F752="EUR"),"FCY",IF('LT records'!$F752="X-P","PP3",IF('LT records'!$F752="X-m","XAU","???")))))))</f>
        <v>???</v>
      </c>
      <c r="H752" s="325" t="n">
        <v>600</v>
      </c>
      <c r="I752" s="340"/>
      <c r="J752" s="340"/>
      <c r="K752" s="340"/>
      <c r="L752" s="341" t="s">
        <v>682</v>
      </c>
      <c r="M752" s="350" t="str">
        <f aca="false">YEAR('LT records'!$B752)&amp;"-"&amp;MONTH('LT records'!$B752)</f>
        <v>2020-10</v>
      </c>
      <c r="N752" s="343" t="n">
        <f aca="false">'LT records'!$H752+'LT records'!$I752</f>
        <v>600</v>
      </c>
    </row>
    <row r="753" customFormat="false" ht="12.8" hidden="false" customHeight="false" outlineLevel="0" collapsed="false">
      <c r="B753" s="351" t="n">
        <v>44113</v>
      </c>
      <c r="C753" s="348" t="n">
        <f aca="false">YEAR('LT records'!$B753)</f>
        <v>2020</v>
      </c>
      <c r="D753" s="346" t="str">
        <f aca="false">'LT records'!$C753&amp;"-"&amp;MONTH('LT records'!$B753)</f>
        <v>2020-10</v>
      </c>
      <c r="E753" s="324" t="s">
        <v>423</v>
      </c>
      <c r="F753" s="324" t="str">
        <f aca="false">LEFT('LT records'!$E753,3)</f>
        <v>Sma</v>
      </c>
      <c r="G753" s="354" t="str">
        <f aca="false">IF(OR('LT records'!$F753="MyF", 'LT records'!$F753="DEP"),"DEP",IF('LT records'!$F753="CSH","CSH",IF('LT records'!$F753="BON","BND",IF('LT records'!$F753="Sma","MKT",IF(OR('LT records'!$F753="Val", 'LT records'!$F753="EUR"),"FCY",IF('LT records'!$F753="X-P","PP3",IF('LT records'!$F753="X-m","XAU","???")))))))</f>
        <v>MKT</v>
      </c>
      <c r="H753" s="325" t="n">
        <v>-3000</v>
      </c>
      <c r="I753" s="340"/>
      <c r="J753" s="340"/>
      <c r="K753" s="340"/>
      <c r="L753" s="341" t="s">
        <v>690</v>
      </c>
      <c r="M753" s="350" t="str">
        <f aca="false">YEAR('LT records'!$B753)&amp;"-"&amp;MONTH('LT records'!$B753)</f>
        <v>2020-10</v>
      </c>
      <c r="N753" s="343" t="n">
        <f aca="false">'LT records'!$H753+'LT records'!$I753</f>
        <v>-3000</v>
      </c>
    </row>
    <row r="754" customFormat="false" ht="12.8" hidden="false" customHeight="false" outlineLevel="0" collapsed="false">
      <c r="B754" s="351" t="n">
        <v>44116</v>
      </c>
      <c r="C754" s="348" t="n">
        <f aca="false">YEAR('LT records'!$B754)</f>
        <v>2020</v>
      </c>
      <c r="D754" s="346" t="str">
        <f aca="false">'LT records'!$C754&amp;"-"&amp;MONTH('LT records'!$B754)</f>
        <v>2020-10</v>
      </c>
      <c r="E754" s="324" t="s">
        <v>14</v>
      </c>
      <c r="F754" s="324" t="str">
        <f aca="false">LEFT('LT records'!$E754,3)</f>
        <v>CSH</v>
      </c>
      <c r="G754" s="354" t="str">
        <f aca="false">IF(OR('LT records'!$F754="MyF", 'LT records'!$F754="DEP"),"DEP",IF('LT records'!$F754="CSH","CSH",IF('LT records'!$F754="BON","BND",IF('LT records'!$F754="Sma","MKT",IF(OR('LT records'!$F754="Val", 'LT records'!$F754="EUR"),"FCY",IF('LT records'!$F754="X-P","PP3",IF('LT records'!$F754="X-m","XAU","???")))))))</f>
        <v>CSH</v>
      </c>
      <c r="H754" s="325" t="n">
        <f aca="false">-950</f>
        <v>-950</v>
      </c>
      <c r="I754" s="340"/>
      <c r="J754" s="340"/>
      <c r="K754" s="340"/>
      <c r="L754" s="341" t="s">
        <v>693</v>
      </c>
      <c r="M754" s="350" t="str">
        <f aca="false">YEAR('LT records'!$B754)&amp;"-"&amp;MONTH('LT records'!$B754)</f>
        <v>2020-10</v>
      </c>
      <c r="N754" s="343" t="n">
        <f aca="false">'LT records'!$H754+'LT records'!$I754</f>
        <v>-950</v>
      </c>
    </row>
    <row r="755" customFormat="false" ht="12.8" hidden="false" customHeight="false" outlineLevel="0" collapsed="false">
      <c r="B755" s="351" t="n">
        <v>44116</v>
      </c>
      <c r="C755" s="348" t="n">
        <f aca="false">YEAR('LT records'!$B755)</f>
        <v>2020</v>
      </c>
      <c r="D755" s="346" t="str">
        <f aca="false">'LT records'!$C755&amp;"-"&amp;MONTH('LT records'!$B755)</f>
        <v>2020-10</v>
      </c>
      <c r="E755" s="324" t="s">
        <v>444</v>
      </c>
      <c r="F755" s="324" t="str">
        <f aca="false">LEFT('LT records'!$E755,3)</f>
        <v>Val</v>
      </c>
      <c r="G755" s="354" t="str">
        <f aca="false">IF(OR('LT records'!$F755="MyF", 'LT records'!$F755="DEP"),"DEP",IF('LT records'!$F755="CSH","CSH",IF('LT records'!$F755="BON","BND",IF('LT records'!$F755="Sma","MKT",IF(OR('LT records'!$F755="Val", 'LT records'!$F755="EUR"),"FCY",IF('LT records'!$F755="X-P","PP3",IF('LT records'!$F755="X-m","XAU","???")))))))</f>
        <v>FCY</v>
      </c>
      <c r="H755" s="325" t="n">
        <f aca="false">173.54*4.8979</f>
        <v>849.981566</v>
      </c>
      <c r="I755" s="340"/>
      <c r="J755" s="325" t="n">
        <f aca="false">173.54</f>
        <v>173.54</v>
      </c>
      <c r="K755" s="340"/>
      <c r="L755" s="341" t="s">
        <v>694</v>
      </c>
      <c r="M755" s="350" t="str">
        <f aca="false">YEAR('LT records'!$B755)&amp;"-"&amp;MONTH('LT records'!$B755)</f>
        <v>2020-10</v>
      </c>
      <c r="N755" s="343" t="n">
        <f aca="false">'LT records'!$H755+'LT records'!$I755</f>
        <v>849.981566</v>
      </c>
    </row>
    <row r="756" customFormat="false" ht="12.8" hidden="false" customHeight="false" outlineLevel="0" collapsed="false">
      <c r="B756" s="351" t="n">
        <v>44116</v>
      </c>
      <c r="C756" s="348" t="n">
        <f aca="false">YEAR('LT records'!$B756)</f>
        <v>2020</v>
      </c>
      <c r="D756" s="346" t="str">
        <f aca="false">'LT records'!$C756&amp;"-"&amp;MONTH('LT records'!$B756)</f>
        <v>2020-10</v>
      </c>
      <c r="E756" s="324" t="s">
        <v>444</v>
      </c>
      <c r="F756" s="324" t="str">
        <f aca="false">LEFT('LT records'!$E756,3)</f>
        <v>Val</v>
      </c>
      <c r="G756" s="354" t="str">
        <f aca="false">IF(OR('LT records'!$F756="MyF", 'LT records'!$F756="DEP"),"DEP",IF('LT records'!$F756="CSH","CSH",IF('LT records'!$F756="BON","BND",IF('LT records'!$F756="Sma","MKT",IF(OR('LT records'!$F756="Val", 'LT records'!$F756="EUR"),"FCY",IF('LT records'!$F756="X-P","PP3",IF('LT records'!$F756="X-m","XAU","???")))))))</f>
        <v>FCY</v>
      </c>
      <c r="H756" s="325"/>
      <c r="I756" s="340"/>
      <c r="J756" s="340" t="n">
        <v>-450.62</v>
      </c>
      <c r="K756" s="340"/>
      <c r="L756" s="341" t="s">
        <v>695</v>
      </c>
      <c r="M756" s="350" t="str">
        <f aca="false">YEAR('LT records'!$B756)&amp;"-"&amp;MONTH('LT records'!$B756)</f>
        <v>2020-10</v>
      </c>
      <c r="N756" s="343" t="n">
        <f aca="false">'LT records'!$H756+'LT records'!$I756</f>
        <v>0</v>
      </c>
    </row>
    <row r="757" customFormat="false" ht="12.8" hidden="false" customHeight="false" outlineLevel="0" collapsed="false">
      <c r="B757" s="351" t="n">
        <v>44124</v>
      </c>
      <c r="C757" s="348" t="n">
        <f aca="false">YEAR('LT records'!$B757)</f>
        <v>2020</v>
      </c>
      <c r="D757" s="346" t="str">
        <f aca="false">'LT records'!$C757&amp;"-"&amp;MONTH('LT records'!$B757)</f>
        <v>2020-10</v>
      </c>
      <c r="E757" s="324" t="s">
        <v>423</v>
      </c>
      <c r="F757" s="324" t="str">
        <f aca="false">LEFT('LT records'!$E757,3)</f>
        <v>Sma</v>
      </c>
      <c r="G757" s="354" t="str">
        <f aca="false">IF(OR('LT records'!$F757="MyF", 'LT records'!$F757="DEP"),"DEP",IF('LT records'!$F757="CSH","CSH",IF('LT records'!$F757="BON","BND",IF('LT records'!$F757="Sma","MKT",IF(OR('LT records'!$F757="Val", 'LT records'!$F757="EUR"),"FCY",IF('LT records'!$F757="X-P","PP3",IF('LT records'!$F757="X-m","XAU","???")))))))</f>
        <v>MKT</v>
      </c>
      <c r="H757" s="325" t="n">
        <v>-3000</v>
      </c>
      <c r="I757" s="340"/>
      <c r="J757" s="340"/>
      <c r="K757" s="340"/>
      <c r="L757" s="341" t="s">
        <v>690</v>
      </c>
      <c r="M757" s="350" t="str">
        <f aca="false">YEAR('LT records'!$B757)&amp;"-"&amp;MONTH('LT records'!$B757)</f>
        <v>2020-10</v>
      </c>
      <c r="N757" s="343" t="n">
        <f aca="false">'LT records'!$H757+'LT records'!$I757</f>
        <v>-3000</v>
      </c>
    </row>
    <row r="758" customFormat="false" ht="12.8" hidden="false" customHeight="false" outlineLevel="0" collapsed="false">
      <c r="B758" s="351" t="n">
        <v>44124</v>
      </c>
      <c r="C758" s="348" t="n">
        <f aca="false">YEAR('LT records'!$B758)</f>
        <v>2020</v>
      </c>
      <c r="D758" s="346" t="str">
        <f aca="false">'LT records'!$C758&amp;"-"&amp;MONTH('LT records'!$B758)</f>
        <v>2020-10</v>
      </c>
      <c r="E758" s="324" t="s">
        <v>311</v>
      </c>
      <c r="F758" s="324" t="str">
        <f aca="false">LEFT('LT records'!$E758,3)</f>
        <v>REN</v>
      </c>
      <c r="G758" s="354" t="str">
        <f aca="false">IF(OR('LT records'!$F758="MyF", 'LT records'!$F758="DEP"),"DEP",IF('LT records'!$F758="CSH","CSH",IF('LT records'!$F758="BON","BND",IF('LT records'!$F758="Sma","MKT",IF(OR('LT records'!$F758="Val", 'LT records'!$F758="EUR"),"FCY",IF('LT records'!$F758="X-P","PP3",IF('LT records'!$F758="X-m","XAU","???")))))))</f>
        <v>???</v>
      </c>
      <c r="H758" s="325" t="n">
        <v>3000</v>
      </c>
      <c r="I758" s="340"/>
      <c r="J758" s="340"/>
      <c r="K758" s="340"/>
      <c r="L758" s="341" t="s">
        <v>695</v>
      </c>
      <c r="M758" s="350" t="str">
        <f aca="false">YEAR('LT records'!$B758)&amp;"-"&amp;MONTH('LT records'!$B758)</f>
        <v>2020-10</v>
      </c>
      <c r="N758" s="343" t="n">
        <f aca="false">'LT records'!$H758+'LT records'!$I758</f>
        <v>3000</v>
      </c>
    </row>
    <row r="759" customFormat="false" ht="12.8" hidden="false" customHeight="false" outlineLevel="0" collapsed="false">
      <c r="B759" s="351" t="n">
        <v>44126</v>
      </c>
      <c r="C759" s="348" t="n">
        <f aca="false">YEAR('LT records'!$B759)</f>
        <v>2020</v>
      </c>
      <c r="D759" s="346" t="str">
        <f aca="false">'LT records'!$C759&amp;"-"&amp;MONTH('LT records'!$B759)</f>
        <v>2020-10</v>
      </c>
      <c r="E759" s="324" t="s">
        <v>14</v>
      </c>
      <c r="F759" s="324" t="str">
        <f aca="false">LEFT('LT records'!$E759,3)</f>
        <v>CSH</v>
      </c>
      <c r="G759" s="354" t="str">
        <f aca="false">IF(OR('LT records'!$F759="MyF", 'LT records'!$F759="DEP"),"DEP",IF('LT records'!$F759="CSH","CSH",IF('LT records'!$F759="BON","BND",IF('LT records'!$F759="Sma","MKT",IF(OR('LT records'!$F759="Val", 'LT records'!$F759="EUR"),"FCY",IF('LT records'!$F759="X-P","PP3",IF('LT records'!$F759="X-m","XAU","???")))))))</f>
        <v>CSH</v>
      </c>
      <c r="H759" s="325" t="n">
        <f aca="false">-205+565</f>
        <v>360</v>
      </c>
      <c r="I759" s="340"/>
      <c r="J759" s="340"/>
      <c r="K759" s="340"/>
      <c r="L759" s="341" t="s">
        <v>696</v>
      </c>
      <c r="M759" s="350" t="str">
        <f aca="false">YEAR('LT records'!$B759)&amp;"-"&amp;MONTH('LT records'!$B759)</f>
        <v>2020-10</v>
      </c>
      <c r="N759" s="343" t="n">
        <f aca="false">'LT records'!$H759+'LT records'!$I759</f>
        <v>360</v>
      </c>
    </row>
    <row r="760" customFormat="false" ht="12.8" hidden="false" customHeight="false" outlineLevel="0" collapsed="false">
      <c r="B760" s="351" t="n">
        <v>44129</v>
      </c>
      <c r="C760" s="348" t="n">
        <f aca="false">YEAR('LT records'!$B760)</f>
        <v>2020</v>
      </c>
      <c r="D760" s="346" t="str">
        <f aca="false">'LT records'!$C760&amp;"-"&amp;MONTH('LT records'!$B760)</f>
        <v>2020-10</v>
      </c>
      <c r="E760" s="324" t="s">
        <v>318</v>
      </c>
      <c r="F760" s="324" t="str">
        <f aca="false">LEFT('LT records'!$E760,3)</f>
        <v>X-P</v>
      </c>
      <c r="G760" s="354" t="str">
        <f aca="false">IF(OR('LT records'!$F760="MyF", 'LT records'!$F760="DEP"),"DEP",IF('LT records'!$F760="CSH","CSH",IF('LT records'!$F760="BON","BND",IF('LT records'!$F760="Sma","MKT",IF(OR('LT records'!$F760="Val", 'LT records'!$F760="EUR"),"FCY",IF('LT records'!$F760="X-P","PP3",IF('LT records'!$F760="X-m","XAU","???")))))))</f>
        <v>PP3</v>
      </c>
      <c r="H760" s="325" t="n">
        <v>200</v>
      </c>
      <c r="I760" s="340"/>
      <c r="J760" s="340"/>
      <c r="K760" s="340"/>
      <c r="L760" s="341" t="s">
        <v>119</v>
      </c>
      <c r="M760" s="350" t="str">
        <f aca="false">YEAR('LT records'!$B760)&amp;"-"&amp;MONTH('LT records'!$B760)</f>
        <v>2020-10</v>
      </c>
      <c r="N760" s="343" t="n">
        <f aca="false">'LT records'!$H760+'LT records'!$I760</f>
        <v>200</v>
      </c>
    </row>
    <row r="761" customFormat="false" ht="12.8" hidden="false" customHeight="false" outlineLevel="0" collapsed="false">
      <c r="B761" s="351" t="n">
        <v>44131</v>
      </c>
      <c r="C761" s="348" t="n">
        <f aca="false">YEAR('LT records'!$B761)</f>
        <v>2020</v>
      </c>
      <c r="D761" s="346" t="str">
        <f aca="false">'LT records'!$C761&amp;"-"&amp;MONTH('LT records'!$B761)</f>
        <v>2020-10</v>
      </c>
      <c r="E761" s="324" t="s">
        <v>444</v>
      </c>
      <c r="F761" s="324" t="str">
        <f aca="false">LEFT('LT records'!$E761,3)</f>
        <v>Val</v>
      </c>
      <c r="G761" s="354" t="str">
        <f aca="false">IF(OR('LT records'!$F761="MyF", 'LT records'!$F761="DEP"),"DEP",IF('LT records'!$F761="CSH","CSH",IF('LT records'!$F761="BON","BND",IF('LT records'!$F761="Sma","MKT",IF(OR('LT records'!$F761="Val", 'LT records'!$F761="EUR"),"FCY",IF('LT records'!$F761="X-P","PP3",IF('LT records'!$F761="X-m","XAU","???")))))))</f>
        <v>FCY</v>
      </c>
      <c r="H761" s="325" t="n">
        <v>49.98</v>
      </c>
      <c r="I761" s="340"/>
      <c r="J761" s="340" t="n">
        <v>10.2</v>
      </c>
      <c r="K761" s="340"/>
      <c r="L761" s="341" t="s">
        <v>697</v>
      </c>
      <c r="M761" s="350" t="str">
        <f aca="false">YEAR('LT records'!$B761)&amp;"-"&amp;MONTH('LT records'!$B761)</f>
        <v>2020-10</v>
      </c>
      <c r="N761" s="343" t="n">
        <f aca="false">'LT records'!$H761+'LT records'!$I761</f>
        <v>49.98</v>
      </c>
    </row>
    <row r="762" customFormat="false" ht="12.8" hidden="false" customHeight="false" outlineLevel="0" collapsed="false">
      <c r="B762" s="351" t="n">
        <v>44132</v>
      </c>
      <c r="C762" s="348" t="n">
        <f aca="false">YEAR('LT records'!$B762)</f>
        <v>2020</v>
      </c>
      <c r="D762" s="346" t="str">
        <f aca="false">'LT records'!$C762&amp;"-"&amp;MONTH('LT records'!$B762)</f>
        <v>2020-10</v>
      </c>
      <c r="E762" s="324" t="s">
        <v>14</v>
      </c>
      <c r="F762" s="324" t="str">
        <f aca="false">LEFT('LT records'!$E762,3)</f>
        <v>CSH</v>
      </c>
      <c r="G762" s="354" t="str">
        <f aca="false">IF(OR('LT records'!$F762="MyF", 'LT records'!$F762="DEP"),"DEP",IF('LT records'!$F762="CSH","CSH",IF('LT records'!$F762="BON","BND",IF('LT records'!$F762="Sma","MKT",IF(OR('LT records'!$F762="Val", 'LT records'!$F762="EUR"),"FCY",IF('LT records'!$F762="X-P","PP3",IF('LT records'!$F762="X-m","XAU","???")))))))</f>
        <v>CSH</v>
      </c>
      <c r="H762" s="325" t="n">
        <v>50</v>
      </c>
      <c r="I762" s="340" t="n">
        <v>1.74</v>
      </c>
      <c r="J762" s="340"/>
      <c r="K762" s="340"/>
      <c r="L762" s="341" t="s">
        <v>698</v>
      </c>
      <c r="M762" s="350" t="str">
        <f aca="false">YEAR('LT records'!$B762)&amp;"-"&amp;MONTH('LT records'!$B762)</f>
        <v>2020-10</v>
      </c>
      <c r="N762" s="343" t="n">
        <f aca="false">'LT records'!$H762+'LT records'!$I762</f>
        <v>51.74</v>
      </c>
    </row>
    <row r="763" customFormat="false" ht="12.8" hidden="false" customHeight="false" outlineLevel="0" collapsed="false">
      <c r="B763" s="351" t="n">
        <v>44133</v>
      </c>
      <c r="C763" s="348" t="n">
        <f aca="false">YEAR('LT records'!$B763)</f>
        <v>2020</v>
      </c>
      <c r="D763" s="346" t="str">
        <f aca="false">'LT records'!$C763&amp;"-"&amp;MONTH('LT records'!$B763)</f>
        <v>2020-10</v>
      </c>
      <c r="E763" s="324" t="s">
        <v>311</v>
      </c>
      <c r="F763" s="324" t="str">
        <f aca="false">LEFT('LT records'!$E763,3)</f>
        <v>REN</v>
      </c>
      <c r="G763" s="354" t="str">
        <f aca="false">IF(OR('LT records'!$F763="MyF", 'LT records'!$F763="DEP"),"DEP",IF('LT records'!$F763="CSH","CSH",IF('LT records'!$F763="BON","BND",IF('LT records'!$F763="Sma","MKT",IF(OR('LT records'!$F763="Val", 'LT records'!$F763="EUR"),"FCY",IF('LT records'!$F763="X-P","PP3",IF('LT records'!$F763="X-m","XAU","???")))))))</f>
        <v>???</v>
      </c>
      <c r="H763" s="325" t="n">
        <v>420</v>
      </c>
      <c r="I763" s="340"/>
      <c r="J763" s="340"/>
      <c r="K763" s="340"/>
      <c r="L763" s="341" t="s">
        <v>699</v>
      </c>
      <c r="M763" s="350" t="str">
        <f aca="false">YEAR('LT records'!$B763)&amp;"-"&amp;MONTH('LT records'!$B763)</f>
        <v>2020-10</v>
      </c>
      <c r="N763" s="343" t="n">
        <f aca="false">'LT records'!$H763+'LT records'!$I763</f>
        <v>420</v>
      </c>
    </row>
    <row r="764" customFormat="false" ht="12.8" hidden="false" customHeight="false" outlineLevel="0" collapsed="false">
      <c r="B764" s="351" t="n">
        <v>44134</v>
      </c>
      <c r="C764" s="348" t="n">
        <f aca="false">YEAR('LT records'!$B764)</f>
        <v>2020</v>
      </c>
      <c r="D764" s="346" t="str">
        <f aca="false">'LT records'!$C764&amp;"-"&amp;MONTH('LT records'!$B764)</f>
        <v>2020-10</v>
      </c>
      <c r="E764" s="324" t="s">
        <v>614</v>
      </c>
      <c r="F764" s="324" t="str">
        <f aca="false">LEFT('LT records'!$E764,3)</f>
        <v>dep</v>
      </c>
      <c r="G764" s="354" t="str">
        <f aca="false">IF(OR('LT records'!$F764="MyF", 'LT records'!$F764="DEP"),"DEP",IF('LT records'!$F764="CSH","CSH",IF('LT records'!$F764="BON","BND",IF('LT records'!$F764="Sma","MKT",IF(OR('LT records'!$F764="Val", 'LT records'!$F764="EUR"),"FCY",IF('LT records'!$F764="X-P","PP3",IF('LT records'!$F764="X-m","XAU","???")))))))</f>
        <v>DEP</v>
      </c>
      <c r="H764" s="325" t="n">
        <v>-6111.38</v>
      </c>
      <c r="I764" s="340" t="n">
        <f aca="false">212.64-21.26</f>
        <v>191.38</v>
      </c>
      <c r="J764" s="340"/>
      <c r="K764" s="340"/>
      <c r="L764" s="341" t="s">
        <v>700</v>
      </c>
      <c r="M764" s="350" t="str">
        <f aca="false">YEAR('LT records'!$B764)&amp;"-"&amp;MONTH('LT records'!$B764)</f>
        <v>2020-10</v>
      </c>
      <c r="N764" s="343" t="n">
        <f aca="false">'LT records'!$H764+'LT records'!$I764</f>
        <v>-5920</v>
      </c>
    </row>
    <row r="765" customFormat="false" ht="12.8" hidden="false" customHeight="false" outlineLevel="0" collapsed="false">
      <c r="B765" s="351" t="n">
        <v>44134</v>
      </c>
      <c r="C765" s="348" t="n">
        <f aca="false">YEAR('LT records'!$B765)</f>
        <v>2020</v>
      </c>
      <c r="D765" s="346" t="str">
        <f aca="false">'LT records'!$C765&amp;"-"&amp;MONTH('LT records'!$B765)</f>
        <v>2020-10</v>
      </c>
      <c r="E765" s="324" t="s">
        <v>14</v>
      </c>
      <c r="F765" s="324" t="str">
        <f aca="false">LEFT('LT records'!$E765,3)</f>
        <v>CSH</v>
      </c>
      <c r="G765" s="354" t="str">
        <f aca="false">IF(OR('LT records'!$F765="MyF", 'LT records'!$F765="DEP"),"DEP",IF('LT records'!$F765="CSH","CSH",IF('LT records'!$F765="BON","BND",IF('LT records'!$F765="Sma","MKT",IF(OR('LT records'!$F765="Val", 'LT records'!$F765="EUR"),"FCY",IF('LT records'!$F765="X-P","PP3",IF('LT records'!$F765="X-m","XAU","???")))))))</f>
        <v>CSH</v>
      </c>
      <c r="H765" s="325" t="n">
        <v>6111.38</v>
      </c>
      <c r="I765" s="340" t="n">
        <v>0.62</v>
      </c>
      <c r="J765" s="340"/>
      <c r="K765" s="340"/>
      <c r="L765" s="341" t="s">
        <v>701</v>
      </c>
      <c r="M765" s="350" t="str">
        <f aca="false">YEAR('LT records'!$B765)&amp;"-"&amp;MONTH('LT records'!$B765)</f>
        <v>2020-10</v>
      </c>
      <c r="N765" s="343" t="n">
        <f aca="false">'LT records'!$H765+'LT records'!$I765</f>
        <v>6112</v>
      </c>
    </row>
    <row r="766" customFormat="false" ht="12.8" hidden="false" customHeight="false" outlineLevel="0" collapsed="false">
      <c r="B766" s="351" t="n">
        <v>44137</v>
      </c>
      <c r="C766" s="348" t="n">
        <f aca="false">YEAR('LT records'!$B766)</f>
        <v>2020</v>
      </c>
      <c r="D766" s="346" t="str">
        <f aca="false">'LT records'!$C766&amp;"-"&amp;MONTH('LT records'!$B766)</f>
        <v>2020-11</v>
      </c>
      <c r="E766" s="324" t="s">
        <v>14</v>
      </c>
      <c r="F766" s="324" t="str">
        <f aca="false">LEFT('LT records'!$E766,3)</f>
        <v>CSH</v>
      </c>
      <c r="G766" s="354" t="str">
        <f aca="false">IF(OR('LT records'!$F766="MyF", 'LT records'!$F766="DEP"),"DEP",IF('LT records'!$F766="CSH","CSH",IF('LT records'!$F766="BON","BND",IF('LT records'!$F766="Sma","MKT",IF(OR('LT records'!$F766="Val", 'LT records'!$F766="EUR"),"FCY",IF('LT records'!$F766="X-P","PP3",IF('LT records'!$F766="X-m","XAU","???")))))))</f>
        <v>CSH</v>
      </c>
      <c r="H766" s="325" t="n">
        <v>-448</v>
      </c>
      <c r="I766" s="340"/>
      <c r="J766" s="340"/>
      <c r="K766" s="340"/>
      <c r="L766" s="341" t="s">
        <v>702</v>
      </c>
      <c r="M766" s="350" t="str">
        <f aca="false">YEAR('LT records'!$B766)&amp;"-"&amp;MONTH('LT records'!$B766)</f>
        <v>2020-11</v>
      </c>
      <c r="N766" s="343" t="n">
        <f aca="false">'LT records'!$H766+'LT records'!$I766</f>
        <v>-448</v>
      </c>
    </row>
    <row r="767" customFormat="false" ht="12.8" hidden="false" customHeight="false" outlineLevel="0" collapsed="false">
      <c r="B767" s="351" t="n">
        <v>44138</v>
      </c>
      <c r="C767" s="348" t="n">
        <f aca="false">YEAR('LT records'!$B767)</f>
        <v>2020</v>
      </c>
      <c r="D767" s="346" t="str">
        <f aca="false">'LT records'!$C767&amp;"-"&amp;MONTH('LT records'!$B767)</f>
        <v>2020-11</v>
      </c>
      <c r="E767" s="324" t="s">
        <v>14</v>
      </c>
      <c r="F767" s="324" t="str">
        <f aca="false">LEFT('LT records'!$E767,3)</f>
        <v>CSH</v>
      </c>
      <c r="G767" s="354" t="str">
        <f aca="false">IF(OR('LT records'!$F767="MyF", 'LT records'!$F767="DEP"),"DEP",IF('LT records'!$F767="CSH","CSH",IF('LT records'!$F767="BON","BND",IF('LT records'!$F767="Sma","MKT",IF(OR('LT records'!$F767="Val", 'LT records'!$F767="EUR"),"FCY",IF('LT records'!$F767="X-P","PP3",IF('LT records'!$F767="X-m","XAU","???")))))))</f>
        <v>CSH</v>
      </c>
      <c r="H767" s="325" t="n">
        <v>-1710</v>
      </c>
      <c r="I767" s="340"/>
      <c r="J767" s="340"/>
      <c r="K767" s="340"/>
      <c r="L767" s="341" t="s">
        <v>703</v>
      </c>
      <c r="M767" s="350" t="str">
        <f aca="false">YEAR('LT records'!$B767)&amp;"-"&amp;MONTH('LT records'!$B767)</f>
        <v>2020-11</v>
      </c>
      <c r="N767" s="343" t="n">
        <f aca="false">'LT records'!$H767+'LT records'!$I767</f>
        <v>-1710</v>
      </c>
    </row>
    <row r="768" customFormat="false" ht="12.8" hidden="false" customHeight="false" outlineLevel="0" collapsed="false">
      <c r="B768" s="351" t="n">
        <v>44138</v>
      </c>
      <c r="C768" s="348" t="n">
        <f aca="false">YEAR('LT records'!$B768)</f>
        <v>2020</v>
      </c>
      <c r="D768" s="346" t="str">
        <f aca="false">'LT records'!$C768&amp;"-"&amp;MONTH('LT records'!$B768)</f>
        <v>2020-11</v>
      </c>
      <c r="E768" s="324" t="s">
        <v>307</v>
      </c>
      <c r="F768" s="324" t="str">
        <f aca="false">LEFT('LT records'!$E768,3)</f>
        <v>DEP</v>
      </c>
      <c r="G768" s="354" t="str">
        <f aca="false">IF(OR('LT records'!$F768="MyF", 'LT records'!$F768="DEP"),"DEP",IF('LT records'!$F768="CSH","CSH",IF('LT records'!$F768="BON","BND",IF('LT records'!$F768="Sma","MKT",IF(OR('LT records'!$F768="Val", 'LT records'!$F768="EUR"),"FCY",IF('LT records'!$F768="X-P","PP3",IF('LT records'!$F768="X-m","XAU","???")))))))</f>
        <v>DEP</v>
      </c>
      <c r="H768" s="325" t="n">
        <v>1710</v>
      </c>
      <c r="I768" s="340" t="n">
        <f aca="false">243.2-24.32</f>
        <v>218.88</v>
      </c>
      <c r="J768" s="340"/>
      <c r="K768" s="340"/>
      <c r="L768" s="341" t="s">
        <v>562</v>
      </c>
      <c r="M768" s="350" t="str">
        <f aca="false">YEAR('LT records'!$B768)&amp;"-"&amp;MONTH('LT records'!$B768)</f>
        <v>2020-11</v>
      </c>
      <c r="N768" s="343" t="n">
        <f aca="false">'LT records'!$H768+'LT records'!$I768</f>
        <v>1928.88</v>
      </c>
    </row>
    <row r="769" customFormat="false" ht="12.8" hidden="false" customHeight="false" outlineLevel="0" collapsed="false">
      <c r="B769" s="351" t="n">
        <v>44138</v>
      </c>
      <c r="C769" s="348" t="n">
        <f aca="false">YEAR('LT records'!$B769)</f>
        <v>2020</v>
      </c>
      <c r="D769" s="346" t="str">
        <f aca="false">'LT records'!$C769&amp;"-"&amp;MONTH('LT records'!$B769)</f>
        <v>2020-11</v>
      </c>
      <c r="E769" s="324" t="s">
        <v>533</v>
      </c>
      <c r="F769" s="324" t="str">
        <f aca="false">LEFT('LT records'!$E769,3)</f>
        <v>EUR</v>
      </c>
      <c r="G769" s="354" t="str">
        <f aca="false">IF(OR('LT records'!$F769="MyF", 'LT records'!$F769="DEP"),"DEP",IF('LT records'!$F769="CSH","CSH",IF('LT records'!$F769="BON","BND",IF('LT records'!$F769="Sma","MKT",IF(OR('LT records'!$F769="Val", 'LT records'!$F769="EUR"),"FCY",IF('LT records'!$F769="X-P","PP3",IF('LT records'!$F769="X-m","XAU","???")))))))</f>
        <v>FCY</v>
      </c>
      <c r="H769" s="325" t="n">
        <v>0</v>
      </c>
      <c r="I769" s="340"/>
      <c r="J769" s="340"/>
      <c r="K769" s="340" t="n">
        <f aca="false">4.06-0.41</f>
        <v>3.65</v>
      </c>
      <c r="L769" s="341" t="s">
        <v>40</v>
      </c>
      <c r="M769" s="350" t="str">
        <f aca="false">YEAR('LT records'!$B769)&amp;"-"&amp;MONTH('LT records'!$B769)</f>
        <v>2020-11</v>
      </c>
      <c r="N769" s="343" t="n">
        <f aca="false">'LT records'!$H769+'LT records'!$I769</f>
        <v>0</v>
      </c>
    </row>
    <row r="770" customFormat="false" ht="12.8" hidden="false" customHeight="false" outlineLevel="0" collapsed="false">
      <c r="B770" s="351" t="n">
        <v>44139</v>
      </c>
      <c r="C770" s="348" t="n">
        <f aca="false">YEAR('LT records'!$B770)</f>
        <v>2020</v>
      </c>
      <c r="D770" s="346" t="str">
        <f aca="false">'LT records'!$C770&amp;"-"&amp;MONTH('LT records'!$B770)</f>
        <v>2020-11</v>
      </c>
      <c r="E770" s="324" t="s">
        <v>423</v>
      </c>
      <c r="F770" s="324" t="str">
        <f aca="false">LEFT('LT records'!$E770,3)</f>
        <v>Sma</v>
      </c>
      <c r="G770" s="354" t="str">
        <f aca="false">IF(OR('LT records'!$F770="MyF", 'LT records'!$F770="DEP"),"DEP",IF('LT records'!$F770="CSH","CSH",IF('LT records'!$F770="BON","BND",IF('LT records'!$F770="Sma","MKT",IF(OR('LT records'!$F770="Val", 'LT records'!$F770="EUR"),"FCY",IF('LT records'!$F770="X-P","PP3",IF('LT records'!$F770="X-m","XAU","???")))))))</f>
        <v>MKT</v>
      </c>
      <c r="H770" s="325" t="n">
        <v>-6000</v>
      </c>
      <c r="I770" s="340"/>
      <c r="J770" s="340"/>
      <c r="K770" s="340"/>
      <c r="L770" s="341" t="s">
        <v>690</v>
      </c>
      <c r="M770" s="350" t="str">
        <f aca="false">YEAR('LT records'!$B770)&amp;"-"&amp;MONTH('LT records'!$B770)</f>
        <v>2020-11</v>
      </c>
      <c r="N770" s="343" t="n">
        <f aca="false">'LT records'!$H770+'LT records'!$I770</f>
        <v>-6000</v>
      </c>
    </row>
    <row r="771" customFormat="false" ht="12.8" hidden="false" customHeight="false" outlineLevel="0" collapsed="false">
      <c r="B771" s="351" t="n">
        <v>44140</v>
      </c>
      <c r="C771" s="348" t="n">
        <f aca="false">YEAR('LT records'!$B771)</f>
        <v>2020</v>
      </c>
      <c r="D771" s="346" t="str">
        <f aca="false">'LT records'!$C771&amp;"-"&amp;MONTH('LT records'!$B771)</f>
        <v>2020-11</v>
      </c>
      <c r="E771" s="324" t="s">
        <v>14</v>
      </c>
      <c r="F771" s="324" t="str">
        <f aca="false">LEFT('LT records'!$E771,3)</f>
        <v>CSH</v>
      </c>
      <c r="G771" s="354" t="str">
        <f aca="false">IF(OR('LT records'!$F771="MyF", 'LT records'!$F771="DEP"),"DEP",IF('LT records'!$F771="CSH","CSH",IF('LT records'!$F771="BON","BND",IF('LT records'!$F771="Sma","MKT",IF(OR('LT records'!$F771="Val", 'LT records'!$F771="EUR"),"FCY",IF('LT records'!$F771="X-P","PP3",IF('LT records'!$F771="X-m","XAU","???")))))))</f>
        <v>CSH</v>
      </c>
      <c r="H771" s="325" t="n">
        <f aca="false">-450+46</f>
        <v>-404</v>
      </c>
      <c r="I771" s="340"/>
      <c r="J771" s="340"/>
      <c r="K771" s="340"/>
      <c r="L771" s="341" t="s">
        <v>704</v>
      </c>
      <c r="M771" s="350" t="str">
        <f aca="false">YEAR('LT records'!$B771)&amp;"-"&amp;MONTH('LT records'!$B771)</f>
        <v>2020-11</v>
      </c>
      <c r="N771" s="343" t="n">
        <f aca="false">'LT records'!$H771+'LT records'!$I771</f>
        <v>-404</v>
      </c>
    </row>
    <row r="772" customFormat="false" ht="12.8" hidden="false" customHeight="false" outlineLevel="0" collapsed="false">
      <c r="B772" s="351" t="n">
        <v>44146</v>
      </c>
      <c r="C772" s="348" t="n">
        <f aca="false">YEAR('LT records'!$B772)</f>
        <v>2020</v>
      </c>
      <c r="D772" s="346" t="str">
        <f aca="false">'LT records'!$C772&amp;"-"&amp;MONTH('LT records'!$B772)</f>
        <v>2020-11</v>
      </c>
      <c r="E772" s="324" t="s">
        <v>311</v>
      </c>
      <c r="F772" s="324" t="str">
        <f aca="false">LEFT('LT records'!$E772,3)</f>
        <v>REN</v>
      </c>
      <c r="G772" s="354" t="str">
        <f aca="false">IF(OR('LT records'!$F772="MyF", 'LT records'!$F772="DEP"),"DEP",IF('LT records'!$F772="CSH","CSH",IF('LT records'!$F772="BON","BND",IF('LT records'!$F772="Sma","MKT",IF(OR('LT records'!$F772="Val", 'LT records'!$F772="EUR"),"FCY",IF('LT records'!$F772="X-P","PP3",IF('LT records'!$F772="X-m","XAU","???")))))))</f>
        <v>???</v>
      </c>
      <c r="H772" s="325" t="n">
        <v>1000</v>
      </c>
      <c r="I772" s="340"/>
      <c r="J772" s="340"/>
      <c r="K772" s="340"/>
      <c r="L772" s="341" t="s">
        <v>682</v>
      </c>
      <c r="M772" s="350" t="str">
        <f aca="false">YEAR('LT records'!$B772)&amp;"-"&amp;MONTH('LT records'!$B772)</f>
        <v>2020-11</v>
      </c>
      <c r="N772" s="343" t="n">
        <f aca="false">'LT records'!$H772+'LT records'!$I772</f>
        <v>1000</v>
      </c>
    </row>
    <row r="773" customFormat="false" ht="12.8" hidden="false" customHeight="false" outlineLevel="0" collapsed="false">
      <c r="B773" s="351" t="n">
        <v>44148</v>
      </c>
      <c r="C773" s="348" t="n">
        <f aca="false">YEAR('LT records'!$B773)</f>
        <v>2020</v>
      </c>
      <c r="D773" s="346" t="str">
        <f aca="false">'LT records'!$C773&amp;"-"&amp;MONTH('LT records'!$B773)</f>
        <v>2020-11</v>
      </c>
      <c r="E773" s="324" t="s">
        <v>14</v>
      </c>
      <c r="F773" s="324" t="str">
        <f aca="false">LEFT('LT records'!$E773,3)</f>
        <v>CSH</v>
      </c>
      <c r="G773" s="354" t="str">
        <f aca="false">IF(OR('LT records'!$F773="MyF", 'LT records'!$F773="DEP"),"DEP",IF('LT records'!$F773="CSH","CSH",IF('LT records'!$F773="BON","BND",IF('LT records'!$F773="Sma","MKT",IF(OR('LT records'!$F773="Val", 'LT records'!$F773="EUR"),"FCY",IF('LT records'!$F773="X-P","PP3",IF('LT records'!$F773="X-m","XAU","???")))))))</f>
        <v>CSH</v>
      </c>
      <c r="H773" s="325" t="n">
        <v>539</v>
      </c>
      <c r="I773" s="340"/>
      <c r="J773" s="340"/>
      <c r="K773" s="340"/>
      <c r="L773" s="341" t="s">
        <v>56</v>
      </c>
      <c r="M773" s="350" t="str">
        <f aca="false">YEAR('LT records'!$B773)&amp;"-"&amp;MONTH('LT records'!$B773)</f>
        <v>2020-11</v>
      </c>
      <c r="N773" s="343" t="n">
        <f aca="false">'LT records'!$H773+'LT records'!$I773</f>
        <v>539</v>
      </c>
    </row>
    <row r="774" customFormat="false" ht="12.8" hidden="false" customHeight="false" outlineLevel="0" collapsed="false">
      <c r="B774" s="351" t="n">
        <v>44158</v>
      </c>
      <c r="C774" s="348" t="n">
        <f aca="false">YEAR('LT records'!$B774)</f>
        <v>2020</v>
      </c>
      <c r="D774" s="346" t="str">
        <f aca="false">'LT records'!$C774&amp;"-"&amp;MONTH('LT records'!$B774)</f>
        <v>2020-11</v>
      </c>
      <c r="E774" s="324" t="s">
        <v>423</v>
      </c>
      <c r="F774" s="324" t="str">
        <f aca="false">LEFT('LT records'!$E774,3)</f>
        <v>Sma</v>
      </c>
      <c r="G774" s="354" t="str">
        <f aca="false">IF(OR('LT records'!$F774="MyF", 'LT records'!$F774="DEP"),"DEP",IF('LT records'!$F774="CSH","CSH",IF('LT records'!$F774="BON","BND",IF('LT records'!$F774="Sma","MKT",IF(OR('LT records'!$F774="Val", 'LT records'!$F774="EUR"),"FCY",IF('LT records'!$F774="X-P","PP3",IF('LT records'!$F774="X-m","XAU","???")))))))</f>
        <v>MKT</v>
      </c>
      <c r="H774" s="325" t="n">
        <v>-2823.12</v>
      </c>
      <c r="I774" s="340"/>
      <c r="J774" s="340"/>
      <c r="K774" s="340"/>
      <c r="L774" s="341" t="s">
        <v>690</v>
      </c>
      <c r="M774" s="350" t="str">
        <f aca="false">YEAR('LT records'!$B774)&amp;"-"&amp;MONTH('LT records'!$B774)</f>
        <v>2020-11</v>
      </c>
      <c r="N774" s="343" t="n">
        <f aca="false">'LT records'!$H774+'LT records'!$I774</f>
        <v>-2823.12</v>
      </c>
    </row>
    <row r="775" customFormat="false" ht="12.8" hidden="false" customHeight="false" outlineLevel="0" collapsed="false">
      <c r="B775" s="351" t="n">
        <v>44159</v>
      </c>
      <c r="C775" s="348" t="n">
        <f aca="false">YEAR('LT records'!$B775)</f>
        <v>2020</v>
      </c>
      <c r="D775" s="346" t="str">
        <f aca="false">'LT records'!$C775&amp;"-"&amp;MONTH('LT records'!$B775)</f>
        <v>2020-11</v>
      </c>
      <c r="E775" s="324" t="s">
        <v>14</v>
      </c>
      <c r="F775" s="324" t="str">
        <f aca="false">LEFT('LT records'!$E775,3)</f>
        <v>CSH</v>
      </c>
      <c r="G775" s="354" t="str">
        <f aca="false">IF(OR('LT records'!$F775="MyF", 'LT records'!$F775="DEP"),"DEP",IF('LT records'!$F775="CSH","CSH",IF('LT records'!$F775="BON","BND",IF('LT records'!$F775="Sma","MKT",IF(OR('LT records'!$F775="Val", 'LT records'!$F775="EUR"),"FCY",IF('LT records'!$F775="X-P","PP3",IF('LT records'!$F775="X-m","XAU","???")))))))</f>
        <v>CSH</v>
      </c>
      <c r="H775" s="325" t="n">
        <f aca="false">-500</f>
        <v>-500</v>
      </c>
      <c r="I775" s="340"/>
      <c r="J775" s="340"/>
      <c r="K775" s="340"/>
      <c r="L775" s="341" t="s">
        <v>705</v>
      </c>
      <c r="M775" s="350" t="str">
        <f aca="false">YEAR('LT records'!$B775)&amp;"-"&amp;MONTH('LT records'!$B775)</f>
        <v>2020-11</v>
      </c>
      <c r="N775" s="343" t="n">
        <f aca="false">'LT records'!$H775+'LT records'!$I775</f>
        <v>-500</v>
      </c>
    </row>
    <row r="776" customFormat="false" ht="12.8" hidden="false" customHeight="false" outlineLevel="0" collapsed="false">
      <c r="B776" s="351" t="n">
        <v>44160</v>
      </c>
      <c r="C776" s="348" t="n">
        <f aca="false">YEAR('LT records'!$B776)</f>
        <v>2020</v>
      </c>
      <c r="D776" s="346" t="str">
        <f aca="false">'LT records'!$C776&amp;"-"&amp;MONTH('LT records'!$B776)</f>
        <v>2020-11</v>
      </c>
      <c r="E776" s="324" t="s">
        <v>318</v>
      </c>
      <c r="F776" s="324" t="str">
        <f aca="false">LEFT('LT records'!$E776,3)</f>
        <v>X-P</v>
      </c>
      <c r="G776" s="354" t="str">
        <f aca="false">IF(OR('LT records'!$F776="MyF", 'LT records'!$F776="DEP"),"DEP",IF('LT records'!$F776="CSH","CSH",IF('LT records'!$F776="BON","BND",IF('LT records'!$F776="Sma","MKT",IF(OR('LT records'!$F776="Val", 'LT records'!$F776="EUR"),"FCY",IF('LT records'!$F776="X-P","PP3",IF('LT records'!$F776="X-m","XAU","???")))))))</f>
        <v>PP3</v>
      </c>
      <c r="H776" s="325"/>
      <c r="I776" s="340"/>
      <c r="J776" s="340"/>
      <c r="K776" s="340"/>
      <c r="L776" s="341" t="s">
        <v>706</v>
      </c>
      <c r="M776" s="350" t="str">
        <f aca="false">YEAR('LT records'!$B776)&amp;"-"&amp;MONTH('LT records'!$B776)</f>
        <v>2020-11</v>
      </c>
      <c r="N776" s="343" t="n">
        <f aca="false">'LT records'!$H776+'LT records'!$I776</f>
        <v>0</v>
      </c>
    </row>
    <row r="777" customFormat="false" ht="12.8" hidden="false" customHeight="false" outlineLevel="0" collapsed="false">
      <c r="B777" s="351" t="n">
        <v>44163</v>
      </c>
      <c r="C777" s="348" t="n">
        <f aca="false">YEAR('LT records'!$B777)</f>
        <v>2020</v>
      </c>
      <c r="D777" s="346" t="str">
        <f aca="false">'LT records'!$C777&amp;"-"&amp;MONTH('LT records'!$B777)</f>
        <v>2020-11</v>
      </c>
      <c r="E777" s="324" t="s">
        <v>14</v>
      </c>
      <c r="F777" s="324" t="str">
        <f aca="false">LEFT('LT records'!$E777,3)</f>
        <v>CSH</v>
      </c>
      <c r="G777" s="354" t="str">
        <f aca="false">IF(OR('LT records'!$F777="MyF", 'LT records'!$F777="DEP"),"DEP",IF('LT records'!$F777="CSH","CSH",IF('LT records'!$F777="BON","BND",IF('LT records'!$F777="Sma","MKT",IF(OR('LT records'!$F777="Val", 'LT records'!$F777="EUR"),"FCY",IF('LT records'!$F777="X-P","PP3",IF('LT records'!$F777="X-m","XAU","???")))))))</f>
        <v>CSH</v>
      </c>
      <c r="H777" s="325" t="n">
        <v>50</v>
      </c>
      <c r="I777" s="340"/>
      <c r="J777" s="340"/>
      <c r="K777" s="340"/>
      <c r="L777" s="341" t="s">
        <v>707</v>
      </c>
      <c r="M777" s="350" t="str">
        <f aca="false">YEAR('LT records'!$B777)&amp;"-"&amp;MONTH('LT records'!$B777)</f>
        <v>2020-11</v>
      </c>
      <c r="N777" s="343" t="n">
        <f aca="false">'LT records'!$H777+'LT records'!$I777</f>
        <v>50</v>
      </c>
    </row>
    <row r="778" customFormat="false" ht="12.8" hidden="false" customHeight="false" outlineLevel="0" collapsed="false">
      <c r="B778" s="351" t="n">
        <v>44165</v>
      </c>
      <c r="C778" s="348" t="n">
        <f aca="false">YEAR('LT records'!$B778)</f>
        <v>2020</v>
      </c>
      <c r="D778" s="346" t="str">
        <f aca="false">'LT records'!$C778&amp;"-"&amp;MONTH('LT records'!$B778)</f>
        <v>2020-11</v>
      </c>
      <c r="E778" s="324" t="s">
        <v>14</v>
      </c>
      <c r="F778" s="324" t="str">
        <f aca="false">LEFT('LT records'!$E778,3)</f>
        <v>CSH</v>
      </c>
      <c r="G778" s="354" t="str">
        <f aca="false">IF(OR('LT records'!$F778="MyF", 'LT records'!$F778="DEP"),"DEP",IF('LT records'!$F778="CSH","CSH",IF('LT records'!$F778="BON","BND",IF('LT records'!$F778="Sma","MKT",IF(OR('LT records'!$F778="Val", 'LT records'!$F778="EUR"),"FCY",IF('LT records'!$F778="X-P","PP3",IF('LT records'!$F778="X-m","XAU","???")))))))</f>
        <v>CSH</v>
      </c>
      <c r="H778" s="325" t="n">
        <f aca="false">-2</f>
        <v>-2</v>
      </c>
      <c r="I778" s="340" t="n">
        <v>4.61</v>
      </c>
      <c r="J778" s="340"/>
      <c r="K778" s="340"/>
      <c r="L778" s="341" t="s">
        <v>708</v>
      </c>
      <c r="M778" s="350" t="str">
        <f aca="false">YEAR('LT records'!$B778)&amp;"-"&amp;MONTH('LT records'!$B778)</f>
        <v>2020-11</v>
      </c>
      <c r="N778" s="343" t="n">
        <f aca="false">'LT records'!$H778+'LT records'!$I778</f>
        <v>2.61</v>
      </c>
    </row>
    <row r="779" customFormat="false" ht="12.8" hidden="false" customHeight="false" outlineLevel="0" collapsed="false">
      <c r="B779" s="351" t="n">
        <v>44172</v>
      </c>
      <c r="C779" s="348" t="n">
        <f aca="false">YEAR('LT records'!$B779)</f>
        <v>2020</v>
      </c>
      <c r="D779" s="346" t="str">
        <f aca="false">'LT records'!$C779&amp;"-"&amp;MONTH('LT records'!$B779)</f>
        <v>2020-12</v>
      </c>
      <c r="E779" s="324" t="s">
        <v>311</v>
      </c>
      <c r="F779" s="324" t="str">
        <f aca="false">LEFT('LT records'!$E779,3)</f>
        <v>REN</v>
      </c>
      <c r="G779" s="354" t="str">
        <f aca="false">IF(OR('LT records'!$F779="MyF", 'LT records'!$F779="DEP"),"DEP",IF('LT records'!$F779="CSH","CSH",IF('LT records'!$F779="BON","BND",IF('LT records'!$F779="Sma","MKT",IF(OR('LT records'!$F779="Val", 'LT records'!$F779="EUR"),"FCY",IF('LT records'!$F779="X-P","PP3",IF('LT records'!$F779="X-m","XAU","???")))))))</f>
        <v>???</v>
      </c>
      <c r="H779" s="325" t="n">
        <v>600</v>
      </c>
      <c r="I779" s="340"/>
      <c r="J779" s="340"/>
      <c r="K779" s="340"/>
      <c r="L779" s="341" t="s">
        <v>682</v>
      </c>
      <c r="M779" s="350" t="str">
        <f aca="false">YEAR('LT records'!$B779)&amp;"-"&amp;MONTH('LT records'!$B779)</f>
        <v>2020-12</v>
      </c>
      <c r="N779" s="343" t="n">
        <f aca="false">'LT records'!$H779+'LT records'!$I779</f>
        <v>600</v>
      </c>
    </row>
    <row r="780" customFormat="false" ht="12.8" hidden="false" customHeight="false" outlineLevel="0" collapsed="false">
      <c r="B780" s="351" t="n">
        <v>44169</v>
      </c>
      <c r="C780" s="348" t="n">
        <f aca="false">YEAR('LT records'!$B780)</f>
        <v>2020</v>
      </c>
      <c r="D780" s="346" t="str">
        <f aca="false">'LT records'!$C780&amp;"-"&amp;MONTH('LT records'!$B780)</f>
        <v>2020-12</v>
      </c>
      <c r="E780" s="324" t="s">
        <v>308</v>
      </c>
      <c r="F780" s="324" t="str">
        <f aca="false">LEFT('LT records'!$E780,3)</f>
        <v>DEP</v>
      </c>
      <c r="G780" s="354" t="str">
        <f aca="false">IF(OR('LT records'!$F780="MyF", 'LT records'!$F780="DEP"),"DEP",IF('LT records'!$F780="CSH","CSH",IF('LT records'!$F780="BON","BND",IF('LT records'!$F780="Sma","MKT",IF(OR('LT records'!$F780="Val", 'LT records'!$F780="EUR"),"FCY",IF('LT records'!$F780="X-P","PP3",IF('LT records'!$F780="X-m","XAU","???")))))))</f>
        <v>DEP</v>
      </c>
      <c r="H780" s="325" t="n">
        <v>0</v>
      </c>
      <c r="I780" s="340" t="n">
        <v>526.61</v>
      </c>
      <c r="J780" s="340"/>
      <c r="K780" s="340"/>
      <c r="L780" s="341" t="s">
        <v>40</v>
      </c>
      <c r="M780" s="350" t="str">
        <f aca="false">YEAR('LT records'!$B780)&amp;"-"&amp;MONTH('LT records'!$B780)</f>
        <v>2020-12</v>
      </c>
      <c r="N780" s="343" t="n">
        <f aca="false">'LT records'!$H780+'LT records'!$I780</f>
        <v>526.61</v>
      </c>
    </row>
    <row r="781" customFormat="false" ht="12.8" hidden="false" customHeight="false" outlineLevel="0" collapsed="false">
      <c r="B781" s="351" t="n">
        <v>44169</v>
      </c>
      <c r="C781" s="348" t="n">
        <f aca="false">YEAR('LT records'!$B781)</f>
        <v>2020</v>
      </c>
      <c r="D781" s="346" t="str">
        <f aca="false">'LT records'!$C781&amp;"-"&amp;MONTH('LT records'!$B781)</f>
        <v>2020-12</v>
      </c>
      <c r="E781" s="324" t="s">
        <v>536</v>
      </c>
      <c r="F781" s="324" t="str">
        <f aca="false">LEFT('LT records'!$E781,3)</f>
        <v>EUR</v>
      </c>
      <c r="G781" s="354" t="str">
        <f aca="false">IF(OR('LT records'!$F781="MyF", 'LT records'!$F781="DEP"),"DEP",IF('LT records'!$F781="CSH","CSH",IF('LT records'!$F781="BON","BND",IF('LT records'!$F781="Sma","MKT",IF(OR('LT records'!$F781="Val", 'LT records'!$F781="EUR"),"FCY",IF('LT records'!$F781="X-P","PP3",IF('LT records'!$F781="X-m","XAU","???")))))))</f>
        <v>FCY</v>
      </c>
      <c r="H781" s="325" t="n">
        <v>0</v>
      </c>
      <c r="I781" s="340"/>
      <c r="J781" s="340"/>
      <c r="K781" s="340" t="n">
        <v>2.92</v>
      </c>
      <c r="L781" s="341" t="s">
        <v>40</v>
      </c>
      <c r="M781" s="350" t="str">
        <f aca="false">YEAR('LT records'!$B781)&amp;"-"&amp;MONTH('LT records'!$B781)</f>
        <v>2020-12</v>
      </c>
      <c r="N781" s="343" t="n">
        <f aca="false">'LT records'!$H781+'LT records'!$I781</f>
        <v>0</v>
      </c>
    </row>
    <row r="782" customFormat="false" ht="12.8" hidden="false" customHeight="false" outlineLevel="0" collapsed="false">
      <c r="B782" s="351" t="n">
        <v>44186</v>
      </c>
      <c r="C782" s="348" t="n">
        <f aca="false">YEAR('LT records'!$B782)</f>
        <v>2020</v>
      </c>
      <c r="D782" s="346" t="str">
        <f aca="false">'LT records'!$C782&amp;"-"&amp;MONTH('LT records'!$B782)</f>
        <v>2020-12</v>
      </c>
      <c r="E782" s="324" t="s">
        <v>14</v>
      </c>
      <c r="F782" s="324" t="str">
        <f aca="false">LEFT('LT records'!$E782,3)</f>
        <v>CSH</v>
      </c>
      <c r="G782" s="354" t="str">
        <f aca="false">IF(OR('LT records'!$F782="MyF", 'LT records'!$F782="DEP"),"DEP",IF('LT records'!$F782="CSH","CSH",IF('LT records'!$F782="BON","BND",IF('LT records'!$F782="Sma","MKT",IF(OR('LT records'!$F782="Val", 'LT records'!$F782="EUR"),"FCY",IF('LT records'!$F782="X-P","PP3",IF('LT records'!$F782="X-m","XAU","???")))))))</f>
        <v>CSH</v>
      </c>
      <c r="H782" s="325" t="n">
        <v>-745</v>
      </c>
      <c r="I782" s="340"/>
      <c r="J782" s="340"/>
      <c r="K782" s="340"/>
      <c r="L782" s="341" t="s">
        <v>688</v>
      </c>
      <c r="M782" s="350" t="str">
        <f aca="false">YEAR('LT records'!$B782)&amp;"-"&amp;MONTH('LT records'!$B782)</f>
        <v>2020-12</v>
      </c>
      <c r="N782" s="343" t="n">
        <f aca="false">'LT records'!$H782+'LT records'!$I782</f>
        <v>-745</v>
      </c>
    </row>
    <row r="783" customFormat="false" ht="12.8" hidden="false" customHeight="false" outlineLevel="0" collapsed="false">
      <c r="B783" s="351" t="n">
        <v>44188</v>
      </c>
      <c r="C783" s="348" t="n">
        <f aca="false">YEAR('LT records'!$B783)</f>
        <v>2020</v>
      </c>
      <c r="D783" s="346" t="str">
        <f aca="false">'LT records'!$C783&amp;"-"&amp;MONTH('LT records'!$B783)</f>
        <v>2020-12</v>
      </c>
      <c r="E783" s="324" t="s">
        <v>14</v>
      </c>
      <c r="F783" s="324" t="str">
        <f aca="false">LEFT('LT records'!$E783,3)</f>
        <v>CSH</v>
      </c>
      <c r="G783" s="354" t="str">
        <f aca="false">IF(OR('LT records'!$F783="MyF", 'LT records'!$F783="DEP"),"DEP",IF('LT records'!$F783="CSH","CSH",IF('LT records'!$F783="BON","BND",IF('LT records'!$F783="Sma","MKT",IF(OR('LT records'!$F783="Val", 'LT records'!$F783="EUR"),"FCY",IF('LT records'!$F783="X-P","PP3",IF('LT records'!$F783="X-m","XAU","???")))))))</f>
        <v>CSH</v>
      </c>
      <c r="H783" s="325" t="n">
        <f aca="false">-400-64-131</f>
        <v>-595</v>
      </c>
      <c r="I783" s="340" t="n">
        <v>3.8</v>
      </c>
      <c r="J783" s="340"/>
      <c r="K783" s="340"/>
      <c r="L783" s="341" t="s">
        <v>709</v>
      </c>
      <c r="M783" s="350" t="str">
        <f aca="false">YEAR('LT records'!$B783)&amp;"-"&amp;MONTH('LT records'!$B783)</f>
        <v>2020-12</v>
      </c>
      <c r="N783" s="343" t="n">
        <f aca="false">'LT records'!$H783+'LT records'!$I783</f>
        <v>-591.2</v>
      </c>
    </row>
    <row r="784" customFormat="false" ht="12.8" hidden="false" customHeight="false" outlineLevel="0" collapsed="false">
      <c r="B784" s="351" t="n">
        <v>44190</v>
      </c>
      <c r="C784" s="348" t="n">
        <f aca="false">YEAR('LT records'!$B784)</f>
        <v>2020</v>
      </c>
      <c r="D784" s="346" t="str">
        <f aca="false">'LT records'!$C784&amp;"-"&amp;MONTH('LT records'!$B784)</f>
        <v>2020-12</v>
      </c>
      <c r="E784" s="324" t="s">
        <v>318</v>
      </c>
      <c r="F784" s="324" t="str">
        <f aca="false">LEFT('LT records'!$E784,3)</f>
        <v>X-P</v>
      </c>
      <c r="G784" s="354" t="str">
        <f aca="false">IF(OR('LT records'!$F784="MyF", 'LT records'!$F784="DEP"),"DEP",IF('LT records'!$F784="CSH","CSH",IF('LT records'!$F784="BON","BND",IF('LT records'!$F784="Sma","MKT",IF(OR('LT records'!$F784="Val", 'LT records'!$F784="EUR"),"FCY",IF('LT records'!$F784="X-P","PP3",IF('LT records'!$F784="X-m","XAU","???")))))))</f>
        <v>PP3</v>
      </c>
      <c r="H784" s="325" t="n">
        <v>200</v>
      </c>
      <c r="I784" s="340"/>
      <c r="J784" s="340"/>
      <c r="K784" s="340"/>
      <c r="L784" s="341" t="s">
        <v>710</v>
      </c>
      <c r="M784" s="350" t="str">
        <f aca="false">YEAR('LT records'!$B784)&amp;"-"&amp;MONTH('LT records'!$B784)</f>
        <v>2020-12</v>
      </c>
      <c r="N784" s="343" t="n">
        <f aca="false">'LT records'!$H784+'LT records'!$I784</f>
        <v>200</v>
      </c>
    </row>
    <row r="785" customFormat="false" ht="12.8" hidden="false" customHeight="false" outlineLevel="0" collapsed="false">
      <c r="B785" s="351" t="n">
        <v>44192</v>
      </c>
      <c r="C785" s="348" t="n">
        <f aca="false">YEAR('LT records'!$B785)</f>
        <v>2020</v>
      </c>
      <c r="D785" s="346" t="str">
        <f aca="false">'LT records'!$C785&amp;"-"&amp;MONTH('LT records'!$B785)</f>
        <v>2020-12</v>
      </c>
      <c r="E785" s="324" t="s">
        <v>14</v>
      </c>
      <c r="F785" s="324" t="str">
        <f aca="false">LEFT('LT records'!$E785,3)</f>
        <v>CSH</v>
      </c>
      <c r="G785" s="354" t="str">
        <f aca="false">IF(OR('LT records'!$F785="MyF", 'LT records'!$F785="DEP"),"DEP",IF('LT records'!$F785="CSH","CSH",IF('LT records'!$F785="BON","BND",IF('LT records'!$F785="Sma","MKT",IF(OR('LT records'!$F785="Val", 'LT records'!$F785="EUR"),"FCY",IF('LT records'!$F785="X-P","PP3",IF('LT records'!$F785="X-m","XAU","???")))))))</f>
        <v>CSH</v>
      </c>
      <c r="H785" s="325" t="n">
        <f aca="false">-179+50-105-114-127-4</f>
        <v>-479</v>
      </c>
      <c r="I785" s="340"/>
      <c r="J785" s="340"/>
      <c r="K785" s="340"/>
      <c r="L785" s="341" t="s">
        <v>711</v>
      </c>
      <c r="M785" s="350" t="str">
        <f aca="false">YEAR('LT records'!$B785)&amp;"-"&amp;MONTH('LT records'!$B785)</f>
        <v>2020-12</v>
      </c>
      <c r="N785" s="343" t="n">
        <f aca="false">'LT records'!$H785+'LT records'!$I785</f>
        <v>-479</v>
      </c>
    </row>
    <row r="786" customFormat="false" ht="12.8" hidden="false" customHeight="false" outlineLevel="0" collapsed="false">
      <c r="B786" s="351" t="n">
        <v>44196</v>
      </c>
      <c r="C786" s="348" t="n">
        <f aca="false">YEAR('LT records'!$B786)</f>
        <v>2020</v>
      </c>
      <c r="D786" s="346" t="str">
        <f aca="false">'LT records'!$C786&amp;"-"&amp;MONTH('LT records'!$B786)</f>
        <v>2020-12</v>
      </c>
      <c r="E786" s="324" t="s">
        <v>625</v>
      </c>
      <c r="F786" s="324" t="str">
        <f aca="false">LEFT('LT records'!$E786,3)</f>
        <v>dep</v>
      </c>
      <c r="G786" s="354" t="str">
        <f aca="false">IF(OR('LT records'!$F786="MyF", 'LT records'!$F786="DEP"),"DEP",IF('LT records'!$F786="CSH","CSH",IF('LT records'!$F786="BON","BND",IF('LT records'!$F786="Sma","MKT",IF(OR('LT records'!$F786="Val", 'LT records'!$F786="EUR"),"FCY",IF('LT records'!$F786="X-P","PP3",IF('LT records'!$F786="X-m","XAU","???")))))))</f>
        <v>DEP</v>
      </c>
      <c r="H786" s="325" t="n">
        <v>-8280.8</v>
      </c>
      <c r="I786" s="340" t="n">
        <f aca="false">312-31.2</f>
        <v>280.8</v>
      </c>
      <c r="J786" s="340"/>
      <c r="K786" s="340"/>
      <c r="L786" s="341" t="s">
        <v>712</v>
      </c>
      <c r="M786" s="350" t="str">
        <f aca="false">YEAR('LT records'!$B786)&amp;"-"&amp;MONTH('LT records'!$B786)</f>
        <v>2020-12</v>
      </c>
      <c r="N786" s="343" t="n">
        <f aca="false">'LT records'!$H786+'LT records'!$I786</f>
        <v>-8000</v>
      </c>
    </row>
    <row r="787" customFormat="false" ht="12.8" hidden="false" customHeight="false" outlineLevel="0" collapsed="false">
      <c r="B787" s="351" t="n">
        <v>44196</v>
      </c>
      <c r="C787" s="348" t="n">
        <f aca="false">YEAR('LT records'!$B787)</f>
        <v>2020</v>
      </c>
      <c r="D787" s="346" t="str">
        <f aca="false">'LT records'!$C787&amp;"-"&amp;MONTH('LT records'!$B787)</f>
        <v>2020-12</v>
      </c>
      <c r="E787" s="324" t="s">
        <v>14</v>
      </c>
      <c r="F787" s="324" t="str">
        <f aca="false">LEFT('LT records'!$E787,3)</f>
        <v>CSH</v>
      </c>
      <c r="G787" s="354" t="str">
        <f aca="false">IF(OR('LT records'!$F787="MyF", 'LT records'!$F787="DEP"),"DEP",IF('LT records'!$F787="CSH","CSH",IF('LT records'!$F787="BON","BND",IF('LT records'!$F787="Sma","MKT",IF(OR('LT records'!$F787="Val", 'LT records'!$F787="EUR"),"FCY",IF('LT records'!$F787="X-P","PP3",IF('LT records'!$F787="X-m","XAU","???")))))))</f>
        <v>CSH</v>
      </c>
      <c r="H787" s="325" t="n">
        <v>8280.8</v>
      </c>
      <c r="I787" s="340"/>
      <c r="J787" s="340"/>
      <c r="K787" s="340"/>
      <c r="L787" s="341" t="s">
        <v>713</v>
      </c>
      <c r="M787" s="350" t="str">
        <f aca="false">YEAR('LT records'!$B787)&amp;"-"&amp;MONTH('LT records'!$B787)</f>
        <v>2020-12</v>
      </c>
      <c r="N787" s="343" t="n">
        <f aca="false">'LT records'!$H787+'LT records'!$I787</f>
        <v>8280.8</v>
      </c>
    </row>
    <row r="788" customFormat="false" ht="12.8" hidden="false" customHeight="false" outlineLevel="0" collapsed="false">
      <c r="B788" s="351" t="n">
        <v>44193</v>
      </c>
      <c r="C788" s="348" t="n">
        <f aca="false">YEAR('LT records'!$B788)</f>
        <v>2020</v>
      </c>
      <c r="D788" s="346" t="str">
        <f aca="false">'LT records'!$C788&amp;"-"&amp;MONTH('LT records'!$B788)</f>
        <v>2020-12</v>
      </c>
      <c r="E788" s="324" t="s">
        <v>423</v>
      </c>
      <c r="F788" s="324" t="str">
        <f aca="false">LEFT('LT records'!$E788,3)</f>
        <v>Sma</v>
      </c>
      <c r="G788" s="354" t="str">
        <f aca="false">IF(OR('LT records'!$F788="MyF", 'LT records'!$F788="DEP"),"DEP",IF('LT records'!$F788="CSH","CSH",IF('LT records'!$F788="BON","BND",IF('LT records'!$F788="Sma","MKT",IF(OR('LT records'!$F788="Val", 'LT records'!$F788="EUR"),"FCY",IF('LT records'!$F788="X-P","PP3",IF('LT records'!$F788="X-m","XAU","???")))))))</f>
        <v>MKT</v>
      </c>
      <c r="H788" s="325" t="n">
        <v>-3000</v>
      </c>
      <c r="I788" s="340"/>
      <c r="J788" s="340"/>
      <c r="K788" s="340"/>
      <c r="L788" s="341" t="s">
        <v>690</v>
      </c>
      <c r="M788" s="350" t="str">
        <f aca="false">YEAR('LT records'!$B788)&amp;"-"&amp;MONTH('LT records'!$B788)</f>
        <v>2020-12</v>
      </c>
      <c r="N788" s="343" t="n">
        <f aca="false">'LT records'!$H788+'LT records'!$I788</f>
        <v>-3000</v>
      </c>
    </row>
    <row r="789" customFormat="false" ht="12.8" hidden="false" customHeight="false" outlineLevel="0" collapsed="false">
      <c r="B789" s="351" t="n">
        <v>44200</v>
      </c>
      <c r="C789" s="348" t="n">
        <f aca="false">YEAR('LT records'!$B789)</f>
        <v>2021</v>
      </c>
      <c r="D789" s="346" t="str">
        <f aca="false">'LT records'!$C789&amp;"-"&amp;MONTH('LT records'!$B789)</f>
        <v>2021-1</v>
      </c>
      <c r="E789" s="324" t="s">
        <v>291</v>
      </c>
      <c r="F789" s="324" t="str">
        <f aca="false">LEFT('LT records'!$E789,3)</f>
        <v>DEP</v>
      </c>
      <c r="G789" s="354" t="str">
        <f aca="false">IF(OR('LT records'!$F789="MyF", 'LT records'!$F789="DEP"),"DEP",IF('LT records'!$F789="CSH","CSH",IF('LT records'!$F789="BON","BND",IF('LT records'!$F789="Sma","MKT",IF(OR('LT records'!$F789="Val", 'LT records'!$F789="EUR"),"FCY",IF('LT records'!$F789="X-P","PP3",IF('LT records'!$F789="X-m","XAU","???")))))))</f>
        <v>DEP</v>
      </c>
      <c r="H789" s="325" t="n">
        <v>8000</v>
      </c>
      <c r="I789" s="340" t="n">
        <f aca="false">207.39-20.74</f>
        <v>186.65</v>
      </c>
      <c r="J789" s="340"/>
      <c r="K789" s="340"/>
      <c r="L789" s="341" t="s">
        <v>562</v>
      </c>
      <c r="M789" s="350" t="str">
        <f aca="false">YEAR('LT records'!$B789)&amp;"-"&amp;MONTH('LT records'!$B789)</f>
        <v>2021-1</v>
      </c>
      <c r="N789" s="343" t="n">
        <f aca="false">'LT records'!$H789+'LT records'!$I789</f>
        <v>8186.65</v>
      </c>
    </row>
    <row r="790" customFormat="false" ht="12.8" hidden="false" customHeight="false" outlineLevel="0" collapsed="false">
      <c r="B790" s="351" t="n">
        <v>44200</v>
      </c>
      <c r="C790" s="348" t="n">
        <f aca="false">YEAR('LT records'!$B790)</f>
        <v>2021</v>
      </c>
      <c r="D790" s="346" t="str">
        <f aca="false">'LT records'!$C790&amp;"-"&amp;MONTH('LT records'!$B790)</f>
        <v>2021-1</v>
      </c>
      <c r="E790" s="324" t="s">
        <v>14</v>
      </c>
      <c r="F790" s="324" t="str">
        <f aca="false">LEFT('LT records'!$E790,3)</f>
        <v>CSH</v>
      </c>
      <c r="G790" s="354" t="str">
        <f aca="false">IF(OR('LT records'!$F790="MyF", 'LT records'!$F790="DEP"),"DEP",IF('LT records'!$F790="CSH","CSH",IF('LT records'!$F790="BON","BND",IF('LT records'!$F790="Sma","MKT",IF(OR('LT records'!$F790="Val", 'LT records'!$F790="EUR"),"FCY",IF('LT records'!$F790="X-P","PP3",IF('LT records'!$F790="X-m","XAU","???")))))))</f>
        <v>CSH</v>
      </c>
      <c r="H790" s="325" t="n">
        <v>-8000</v>
      </c>
      <c r="I790" s="340"/>
      <c r="J790" s="340"/>
      <c r="K790" s="340"/>
      <c r="L790" s="341" t="s">
        <v>714</v>
      </c>
      <c r="M790" s="350" t="str">
        <f aca="false">YEAR('LT records'!$B790)&amp;"-"&amp;MONTH('LT records'!$B790)</f>
        <v>2021-1</v>
      </c>
      <c r="N790" s="343" t="n">
        <f aca="false">'LT records'!$H790+'LT records'!$I790</f>
        <v>-8000</v>
      </c>
    </row>
    <row r="791" customFormat="false" ht="12.8" hidden="false" customHeight="false" outlineLevel="0" collapsed="false">
      <c r="B791" s="351" t="n">
        <v>44200</v>
      </c>
      <c r="C791" s="348" t="n">
        <f aca="false">YEAR('LT records'!$B791)</f>
        <v>2021</v>
      </c>
      <c r="D791" s="346" t="str">
        <f aca="false">'LT records'!$C791&amp;"-"&amp;MONTH('LT records'!$B791)</f>
        <v>2021-1</v>
      </c>
      <c r="E791" s="324" t="s">
        <v>549</v>
      </c>
      <c r="F791" s="324" t="str">
        <f aca="false">LEFT('LT records'!$E791,3)</f>
        <v>EUR</v>
      </c>
      <c r="G791" s="354" t="str">
        <f aca="false">IF(OR('LT records'!$F791="MyF", 'LT records'!$F791="DEP"),"DEP",IF('LT records'!$F791="CSH","CSH",IF('LT records'!$F791="BON","BND",IF('LT records'!$F791="Sma","MKT",IF(OR('LT records'!$F791="Val", 'LT records'!$F791="EUR"),"FCY",IF('LT records'!$F791="X-P","PP3",IF('LT records'!$F791="X-m","XAU","???")))))))</f>
        <v>FCY</v>
      </c>
      <c r="H791" s="325"/>
      <c r="I791" s="340"/>
      <c r="J791" s="340" t="n">
        <v>12</v>
      </c>
      <c r="K791" s="340" t="n">
        <f aca="false">3.35-0.34</f>
        <v>3.01</v>
      </c>
      <c r="L791" s="341" t="s">
        <v>562</v>
      </c>
      <c r="M791" s="350" t="str">
        <f aca="false">YEAR('LT records'!$B791)&amp;"-"&amp;MONTH('LT records'!$B791)</f>
        <v>2021-1</v>
      </c>
      <c r="N791" s="343" t="n">
        <f aca="false">'LT records'!$H791+'LT records'!$I791</f>
        <v>0</v>
      </c>
    </row>
    <row r="792" customFormat="false" ht="12.8" hidden="false" customHeight="false" outlineLevel="0" collapsed="false">
      <c r="B792" s="351" t="n">
        <v>44200</v>
      </c>
      <c r="C792" s="348" t="n">
        <f aca="false">YEAR('LT records'!$B792)</f>
        <v>2021</v>
      </c>
      <c r="D792" s="346" t="str">
        <f aca="false">'LT records'!$C792&amp;"-"&amp;MONTH('LT records'!$B792)</f>
        <v>2021-1</v>
      </c>
      <c r="E792" s="324" t="s">
        <v>444</v>
      </c>
      <c r="F792" s="324" t="str">
        <f aca="false">LEFT('LT records'!$E792,3)</f>
        <v>Val</v>
      </c>
      <c r="G792" s="354" t="str">
        <f aca="false">IF(OR('LT records'!$F792="MyF", 'LT records'!$F792="DEP"),"DEP",IF('LT records'!$F792="CSH","CSH",IF('LT records'!$F792="BON","BND",IF('LT records'!$F792="Sma","MKT",IF(OR('LT records'!$F792="Val", 'LT records'!$F792="EUR"),"FCY",IF('LT records'!$F792="X-P","PP3",IF('LT records'!$F792="X-m","XAU","???")))))))</f>
        <v>FCY</v>
      </c>
      <c r="H792" s="325" t="n">
        <v>0</v>
      </c>
      <c r="I792" s="340"/>
      <c r="J792" s="340" t="n">
        <v>-12</v>
      </c>
      <c r="K792" s="340"/>
      <c r="L792" s="341" t="s">
        <v>714</v>
      </c>
      <c r="M792" s="350" t="str">
        <f aca="false">YEAR('LT records'!$B792)&amp;"-"&amp;MONTH('LT records'!$B792)</f>
        <v>2021-1</v>
      </c>
      <c r="N792" s="343" t="n">
        <f aca="false">'LT records'!$H792+'LT records'!$I792</f>
        <v>0</v>
      </c>
    </row>
    <row r="793" customFormat="false" ht="12.8" hidden="false" customHeight="false" outlineLevel="0" collapsed="false">
      <c r="B793" s="351" t="n">
        <v>44204</v>
      </c>
      <c r="C793" s="348" t="n">
        <f aca="false">YEAR('LT records'!$B793)</f>
        <v>2021</v>
      </c>
      <c r="D793" s="346" t="str">
        <f aca="false">'LT records'!$C793&amp;"-"&amp;MONTH('LT records'!$B793)</f>
        <v>2021-1</v>
      </c>
      <c r="E793" s="324" t="s">
        <v>311</v>
      </c>
      <c r="F793" s="324" t="str">
        <f aca="false">LEFT('LT records'!$E793,3)</f>
        <v>REN</v>
      </c>
      <c r="G793" s="354" t="str">
        <f aca="false">IF(OR('LT records'!$F793="MyF", 'LT records'!$F793="DEP"),"DEP",IF('LT records'!$F793="CSH","CSH",IF('LT records'!$F793="BON","BND",IF('LT records'!$F793="Sma","MKT",IF(OR('LT records'!$F793="Val", 'LT records'!$F793="EUR"),"FCY",IF('LT records'!$F793="X-P","PP3",IF('LT records'!$F793="X-m","XAU","???")))))))</f>
        <v>???</v>
      </c>
      <c r="H793" s="325" t="n">
        <v>380</v>
      </c>
      <c r="I793" s="340"/>
      <c r="J793" s="340"/>
      <c r="K793" s="340"/>
      <c r="L793" s="341" t="s">
        <v>682</v>
      </c>
      <c r="M793" s="350" t="str">
        <f aca="false">YEAR('LT records'!$B793)&amp;"-"&amp;MONTH('LT records'!$B793)</f>
        <v>2021-1</v>
      </c>
      <c r="N793" s="343" t="n">
        <f aca="false">'LT records'!$H793+'LT records'!$I793</f>
        <v>380</v>
      </c>
    </row>
    <row r="794" customFormat="false" ht="12.8" hidden="false" customHeight="false" outlineLevel="0" collapsed="false">
      <c r="B794" s="351" t="n">
        <v>44221</v>
      </c>
      <c r="C794" s="348" t="n">
        <f aca="false">YEAR('LT records'!$B794)</f>
        <v>2021</v>
      </c>
      <c r="D794" s="346" t="str">
        <f aca="false">'LT records'!$C794&amp;"-"&amp;MONTH('LT records'!$B794)</f>
        <v>2021-1</v>
      </c>
      <c r="E794" s="324" t="s">
        <v>318</v>
      </c>
      <c r="F794" s="324" t="str">
        <f aca="false">LEFT('LT records'!$E794,3)</f>
        <v>X-P</v>
      </c>
      <c r="G794" s="354" t="str">
        <f aca="false">IF(OR('LT records'!$F794="MyF", 'LT records'!$F794="DEP"),"DEP",IF('LT records'!$F794="CSH","CSH",IF('LT records'!$F794="BON","BND",IF('LT records'!$F794="Sma","MKT",IF(OR('LT records'!$F794="Val", 'LT records'!$F794="EUR"),"FCY",IF('LT records'!$F794="X-P","PP3",IF('LT records'!$F794="X-m","XAU","???")))))))</f>
        <v>PP3</v>
      </c>
      <c r="H794" s="325" t="n">
        <v>200</v>
      </c>
      <c r="I794" s="340"/>
      <c r="J794" s="340"/>
      <c r="K794" s="340"/>
      <c r="L794" s="341" t="s">
        <v>710</v>
      </c>
      <c r="M794" s="350" t="str">
        <f aca="false">YEAR('LT records'!$B794)&amp;"-"&amp;MONTH('LT records'!$B794)</f>
        <v>2021-1</v>
      </c>
      <c r="N794" s="343" t="n">
        <f aca="false">'LT records'!$H794+'LT records'!$I794</f>
        <v>200</v>
      </c>
    </row>
    <row r="795" customFormat="false" ht="12.8" hidden="false" customHeight="false" outlineLevel="0" collapsed="false">
      <c r="B795" s="351" t="n">
        <v>44222</v>
      </c>
      <c r="C795" s="348" t="n">
        <f aca="false">YEAR('LT records'!$B795)</f>
        <v>2021</v>
      </c>
      <c r="D795" s="346" t="str">
        <f aca="false">'LT records'!$C795&amp;"-"&amp;MONTH('LT records'!$B795)</f>
        <v>2021-1</v>
      </c>
      <c r="E795" s="324" t="s">
        <v>14</v>
      </c>
      <c r="F795" s="324" t="str">
        <f aca="false">LEFT('LT records'!$E795,3)</f>
        <v>CSH</v>
      </c>
      <c r="G795" s="354" t="str">
        <f aca="false">IF(OR('LT records'!$F795="MyF", 'LT records'!$F795="DEP"),"DEP",IF('LT records'!$F795="CSH","CSH",IF('LT records'!$F795="BON","BND",IF('LT records'!$F795="Sma","MKT",IF(OR('LT records'!$F795="Val", 'LT records'!$F795="EUR"),"FCY",IF('LT records'!$F795="X-P","PP3",IF('LT records'!$F795="X-m","XAU","???")))))))</f>
        <v>CSH</v>
      </c>
      <c r="H795" s="325" t="n">
        <f aca="false">-750-50+50</f>
        <v>-750</v>
      </c>
      <c r="I795" s="340"/>
      <c r="J795" s="340"/>
      <c r="K795" s="340"/>
      <c r="L795" s="341" t="s">
        <v>685</v>
      </c>
      <c r="M795" s="350" t="str">
        <f aca="false">YEAR('LT records'!$B795)&amp;"-"&amp;MONTH('LT records'!$B795)</f>
        <v>2021-1</v>
      </c>
      <c r="N795" s="343" t="n">
        <f aca="false">'LT records'!$H795+'LT records'!$I795</f>
        <v>-750</v>
      </c>
      <c r="Q795" s="326"/>
    </row>
    <row r="796" customFormat="false" ht="12.8" hidden="false" customHeight="false" outlineLevel="0" collapsed="false">
      <c r="B796" s="351" t="n">
        <v>44224</v>
      </c>
      <c r="C796" s="348" t="n">
        <f aca="false">YEAR('LT records'!$B796)</f>
        <v>2021</v>
      </c>
      <c r="D796" s="346" t="str">
        <f aca="false">'LT records'!$C796&amp;"-"&amp;MONTH('LT records'!$B796)</f>
        <v>2021-1</v>
      </c>
      <c r="E796" s="324" t="s">
        <v>423</v>
      </c>
      <c r="F796" s="324" t="str">
        <f aca="false">LEFT('LT records'!$E796,3)</f>
        <v>Sma</v>
      </c>
      <c r="G796" s="354" t="str">
        <f aca="false">IF(OR('LT records'!$F796="MyF", 'LT records'!$F796="DEP"),"DEP",IF('LT records'!$F796="CSH","CSH",IF('LT records'!$F796="BON","BND",IF('LT records'!$F796="Sma","MKT",IF(OR('LT records'!$F796="Val", 'LT records'!$F796="EUR"),"FCY",IF('LT records'!$F796="X-P","PP3",IF('LT records'!$F796="X-m","XAU","???")))))))</f>
        <v>MKT</v>
      </c>
      <c r="H796" s="325" t="n">
        <v>-2066</v>
      </c>
      <c r="I796" s="340" t="n">
        <v>1556.12</v>
      </c>
      <c r="J796" s="340"/>
      <c r="K796" s="340"/>
      <c r="L796" s="341" t="s">
        <v>690</v>
      </c>
      <c r="M796" s="350" t="str">
        <f aca="false">YEAR('LT records'!$B796)&amp;"-"&amp;MONTH('LT records'!$B796)</f>
        <v>2021-1</v>
      </c>
      <c r="N796" s="343" t="n">
        <f aca="false">'LT records'!$H796+'LT records'!$I796</f>
        <v>-509.88</v>
      </c>
      <c r="Q796" s="326"/>
    </row>
    <row r="797" customFormat="false" ht="12.8" hidden="false" customHeight="false" outlineLevel="0" collapsed="false">
      <c r="B797" s="351" t="n">
        <v>44225</v>
      </c>
      <c r="C797" s="348" t="n">
        <f aca="false">YEAR('LT records'!$B797)</f>
        <v>2021</v>
      </c>
      <c r="D797" s="346" t="str">
        <f aca="false">'LT records'!$C797&amp;"-"&amp;MONTH('LT records'!$B797)</f>
        <v>2021-1</v>
      </c>
      <c r="E797" s="324" t="s">
        <v>311</v>
      </c>
      <c r="F797" s="324" t="str">
        <f aca="false">LEFT('LT records'!$E797,3)</f>
        <v>REN</v>
      </c>
      <c r="G797" s="354" t="str">
        <f aca="false">IF(OR('LT records'!$F797="MyF", 'LT records'!$F797="DEP"),"DEP",IF('LT records'!$F797="CSH","CSH",IF('LT records'!$F797="BON","BND",IF('LT records'!$F797="Sma","MKT",IF(OR('LT records'!$F797="Val", 'LT records'!$F797="EUR"),"FCY",IF('LT records'!$F797="X-P","PP3",IF('LT records'!$F797="X-m","XAU","???")))))))</f>
        <v>???</v>
      </c>
      <c r="H797" s="325" t="n">
        <v>600</v>
      </c>
      <c r="I797" s="340"/>
      <c r="J797" s="340"/>
      <c r="K797" s="340"/>
      <c r="L797" s="341" t="s">
        <v>682</v>
      </c>
      <c r="M797" s="350" t="str">
        <f aca="false">YEAR('LT records'!$B797)&amp;"-"&amp;MONTH('LT records'!$B797)</f>
        <v>2021-1</v>
      </c>
      <c r="N797" s="343" t="n">
        <f aca="false">'LT records'!$H797+'LT records'!$I797</f>
        <v>600</v>
      </c>
      <c r="Q797" s="326"/>
    </row>
    <row r="798" customFormat="false" ht="12.8" hidden="false" customHeight="false" outlineLevel="0" collapsed="false">
      <c r="B798" s="351" t="n">
        <v>44230</v>
      </c>
      <c r="C798" s="348" t="n">
        <f aca="false">YEAR('LT records'!$B798)</f>
        <v>2021</v>
      </c>
      <c r="D798" s="346" t="str">
        <f aca="false">'LT records'!$C798&amp;"-"&amp;MONTH('LT records'!$B798)</f>
        <v>2021-2</v>
      </c>
      <c r="E798" s="324" t="s">
        <v>14</v>
      </c>
      <c r="F798" s="324" t="str">
        <f aca="false">LEFT('LT records'!$E798,3)</f>
        <v>CSH</v>
      </c>
      <c r="G798" s="354" t="str">
        <f aca="false">IF(OR('LT records'!$F798="MyF", 'LT records'!$F798="DEP"),"DEP",IF('LT records'!$F798="CSH","CSH",IF('LT records'!$F798="BON","BND",IF('LT records'!$F798="Sma","MKT",IF(OR('LT records'!$F798="Val", 'LT records'!$F798="EUR"),"FCY",IF('LT records'!$F798="X-P","PP3",IF('LT records'!$F798="X-m","XAU","???")))))))</f>
        <v>CSH</v>
      </c>
      <c r="H798" s="325" t="n">
        <f aca="false">-104</f>
        <v>-104</v>
      </c>
      <c r="I798" s="340" t="n">
        <v>5.26</v>
      </c>
      <c r="J798" s="340"/>
      <c r="K798" s="340"/>
      <c r="L798" s="341" t="s">
        <v>715</v>
      </c>
      <c r="M798" s="350" t="str">
        <f aca="false">YEAR('LT records'!$B798)&amp;"-"&amp;MONTH('LT records'!$B798)</f>
        <v>2021-2</v>
      </c>
      <c r="N798" s="343" t="n">
        <f aca="false">'LT records'!$H798+'LT records'!$I798</f>
        <v>-98.74</v>
      </c>
      <c r="Q798" s="326"/>
    </row>
    <row r="799" customFormat="false" ht="12.8" hidden="false" customHeight="false" outlineLevel="0" collapsed="false">
      <c r="B799" s="351" t="n">
        <v>44230</v>
      </c>
      <c r="C799" s="348" t="n">
        <f aca="false">YEAR('LT records'!$B799)</f>
        <v>2021</v>
      </c>
      <c r="D799" s="346" t="str">
        <f aca="false">'LT records'!$C799&amp;"-"&amp;MONTH('LT records'!$B799)</f>
        <v>2021-2</v>
      </c>
      <c r="E799" s="324" t="s">
        <v>555</v>
      </c>
      <c r="F799" s="324" t="str">
        <f aca="false">LEFT('LT records'!$E799,3)</f>
        <v>EUR</v>
      </c>
      <c r="G799" s="354" t="str">
        <f aca="false">IF(OR('LT records'!$F799="MyF", 'LT records'!$F799="DEP"),"DEP",IF('LT records'!$F799="CSH","CSH",IF('LT records'!$F799="BON","BND",IF('LT records'!$F799="Sma","MKT",IF(OR('LT records'!$F799="Val", 'LT records'!$F799="EUR"),"FCY",IF('LT records'!$F799="X-P","PP3",IF('LT records'!$F799="X-m","XAU","???")))))))</f>
        <v>FCY</v>
      </c>
      <c r="H799" s="325" t="n">
        <v>0</v>
      </c>
      <c r="I799" s="340"/>
      <c r="J799" s="340"/>
      <c r="K799" s="340" t="n">
        <v>3.01</v>
      </c>
      <c r="L799" s="341" t="s">
        <v>40</v>
      </c>
      <c r="M799" s="350" t="str">
        <f aca="false">YEAR('LT records'!$B799)&amp;"-"&amp;MONTH('LT records'!$B799)</f>
        <v>2021-2</v>
      </c>
      <c r="N799" s="343" t="n">
        <f aca="false">'LT records'!$H799+'LT records'!$I799</f>
        <v>0</v>
      </c>
      <c r="Q799" s="326"/>
    </row>
    <row r="800" customFormat="false" ht="12.8" hidden="false" customHeight="false" outlineLevel="0" collapsed="false">
      <c r="B800" s="351" t="n">
        <v>44230</v>
      </c>
      <c r="C800" s="348" t="n">
        <f aca="false">YEAR('LT records'!$B800)</f>
        <v>2021</v>
      </c>
      <c r="D800" s="346" t="str">
        <f aca="false">'LT records'!$C800&amp;"-"&amp;MONTH('LT records'!$B800)</f>
        <v>2021-2</v>
      </c>
      <c r="E800" s="324" t="s">
        <v>294</v>
      </c>
      <c r="F800" s="324" t="str">
        <f aca="false">LEFT('LT records'!$E800,3)</f>
        <v>DEP</v>
      </c>
      <c r="G800" s="354" t="str">
        <f aca="false">IF(OR('LT records'!$F800="MyF", 'LT records'!$F800="DEP"),"DEP",IF('LT records'!$F800="CSH","CSH",IF('LT records'!$F800="BON","BND",IF('LT records'!$F800="Sma","MKT",IF(OR('LT records'!$F800="Val", 'LT records'!$F800="EUR"),"FCY",IF('LT records'!$F800="X-P","PP3",IF('LT records'!$F800="X-m","XAU","???")))))))</f>
        <v>DEP</v>
      </c>
      <c r="H800" s="325" t="n">
        <v>0</v>
      </c>
      <c r="I800" s="340" t="n">
        <v>405.1</v>
      </c>
      <c r="J800" s="340"/>
      <c r="K800" s="340"/>
      <c r="L800" s="341" t="s">
        <v>40</v>
      </c>
      <c r="M800" s="350" t="str">
        <f aca="false">YEAR('LT records'!$B800)&amp;"-"&amp;MONTH('LT records'!$B800)</f>
        <v>2021-2</v>
      </c>
      <c r="N800" s="343" t="n">
        <f aca="false">'LT records'!$H800+'LT records'!$I800</f>
        <v>405.1</v>
      </c>
      <c r="Q800" s="326"/>
    </row>
    <row r="801" customFormat="false" ht="12.8" hidden="false" customHeight="false" outlineLevel="0" collapsed="false">
      <c r="B801" s="351" t="n">
        <v>44231</v>
      </c>
      <c r="C801" s="348" t="n">
        <f aca="false">YEAR('LT records'!$B801)</f>
        <v>2021</v>
      </c>
      <c r="D801" s="346" t="str">
        <f aca="false">'LT records'!$C801&amp;"-"&amp;MONTH('LT records'!$B801)</f>
        <v>2021-2</v>
      </c>
      <c r="E801" s="324" t="s">
        <v>14</v>
      </c>
      <c r="F801" s="324" t="str">
        <f aca="false">LEFT('LT records'!$E801,3)</f>
        <v>CSH</v>
      </c>
      <c r="G801" s="354" t="str">
        <f aca="false">IF(OR('LT records'!$F801="MyF", 'LT records'!$F801="DEP"),"DEP",IF('LT records'!$F801="CSH","CSH",IF('LT records'!$F801="BON","BND",IF('LT records'!$F801="Sma","MKT",IF(OR('LT records'!$F801="Val", 'LT records'!$F801="EUR"),"FCY",IF('LT records'!$F801="X-P","PP3",IF('LT records'!$F801="X-m","XAU","???")))))))</f>
        <v>CSH</v>
      </c>
      <c r="H801" s="325" t="n">
        <f aca="false">-100</f>
        <v>-100</v>
      </c>
      <c r="I801" s="340"/>
      <c r="J801" s="340"/>
      <c r="K801" s="340"/>
      <c r="L801" s="341" t="s">
        <v>715</v>
      </c>
      <c r="M801" s="350" t="str">
        <f aca="false">YEAR('LT records'!$B801)&amp;"-"&amp;MONTH('LT records'!$B801)</f>
        <v>2021-2</v>
      </c>
      <c r="N801" s="343" t="n">
        <f aca="false">'LT records'!$H801+'LT records'!$I801</f>
        <v>-100</v>
      </c>
      <c r="Q801" s="326"/>
    </row>
    <row r="802" customFormat="false" ht="12.8" hidden="false" customHeight="false" outlineLevel="0" collapsed="false">
      <c r="B802" s="351" t="n">
        <v>44232</v>
      </c>
      <c r="C802" s="348" t="n">
        <f aca="false">YEAR('LT records'!$B802)</f>
        <v>2021</v>
      </c>
      <c r="D802" s="346" t="str">
        <f aca="false">'LT records'!$C802&amp;"-"&amp;MONTH('LT records'!$B802)</f>
        <v>2021-2</v>
      </c>
      <c r="E802" s="324" t="s">
        <v>444</v>
      </c>
      <c r="F802" s="324" t="str">
        <f aca="false">LEFT('LT records'!$E802,3)</f>
        <v>Val</v>
      </c>
      <c r="G802" s="354" t="str">
        <f aca="false">IF(OR('LT records'!$F802="MyF", 'LT records'!$F802="DEP"),"DEP",IF('LT records'!$F802="CSH","CSH",IF('LT records'!$F802="BON","BND",IF('LT records'!$F802="Sma","MKT",IF(OR('LT records'!$F802="Val", 'LT records'!$F802="EUR"),"FCY",IF('LT records'!$F802="X-P","PP3",IF('LT records'!$F802="X-m","XAU","???")))))))</f>
        <v>FCY</v>
      </c>
      <c r="H802" s="325" t="n">
        <v>0</v>
      </c>
      <c r="I802" s="340"/>
      <c r="J802" s="340" t="n">
        <v>-20</v>
      </c>
      <c r="K802" s="340"/>
      <c r="L802" s="341"/>
      <c r="M802" s="350" t="str">
        <f aca="false">YEAR('LT records'!$B802)&amp;"-"&amp;MONTH('LT records'!$B802)</f>
        <v>2021-2</v>
      </c>
      <c r="N802" s="343" t="n">
        <f aca="false">'LT records'!$H802+'LT records'!$I802</f>
        <v>0</v>
      </c>
      <c r="Q802" s="326"/>
    </row>
    <row r="803" customFormat="false" ht="12.8" hidden="false" customHeight="false" outlineLevel="0" collapsed="false">
      <c r="B803" s="351" t="n">
        <v>44232</v>
      </c>
      <c r="C803" s="348" t="n">
        <f aca="false">YEAR('LT records'!$B803)</f>
        <v>2021</v>
      </c>
      <c r="D803" s="346" t="str">
        <f aca="false">'LT records'!$C803&amp;"-"&amp;MONTH('LT records'!$B803)</f>
        <v>2021-2</v>
      </c>
      <c r="E803" s="324" t="s">
        <v>14</v>
      </c>
      <c r="F803" s="324" t="str">
        <f aca="false">LEFT('LT records'!$E803,3)</f>
        <v>CSH</v>
      </c>
      <c r="G803" s="354" t="str">
        <f aca="false">IF(OR('LT records'!$F803="MyF", 'LT records'!$F803="DEP"),"DEP",IF('LT records'!$F803="CSH","CSH",IF('LT records'!$F803="BON","BND",IF('LT records'!$F803="Sma","MKT",IF(OR('LT records'!$F803="Val", 'LT records'!$F803="EUR"),"FCY",IF('LT records'!$F803="X-P","PP3",IF('LT records'!$F803="X-m","XAU","???")))))))</f>
        <v>CSH</v>
      </c>
      <c r="H803" s="325" t="n">
        <f aca="false">-2019</f>
        <v>-2019</v>
      </c>
      <c r="I803" s="340"/>
      <c r="J803" s="340"/>
      <c r="K803" s="340"/>
      <c r="L803" s="341"/>
      <c r="M803" s="350" t="str">
        <f aca="false">YEAR('LT records'!$B803)&amp;"-"&amp;MONTH('LT records'!$B803)</f>
        <v>2021-2</v>
      </c>
      <c r="N803" s="343" t="n">
        <f aca="false">'LT records'!$H803+'LT records'!$I803</f>
        <v>-2019</v>
      </c>
      <c r="Q803" s="326"/>
    </row>
    <row r="804" customFormat="false" ht="12.8" hidden="false" customHeight="false" outlineLevel="0" collapsed="false">
      <c r="B804" s="351" t="n">
        <v>44249</v>
      </c>
      <c r="C804" s="348" t="n">
        <f aca="false">YEAR('LT records'!$B804)</f>
        <v>2021</v>
      </c>
      <c r="D804" s="346" t="str">
        <f aca="false">'LT records'!$C804&amp;"-"&amp;MONTH('LT records'!$B804)</f>
        <v>2021-2</v>
      </c>
      <c r="E804" s="324" t="s">
        <v>14</v>
      </c>
      <c r="F804" s="324" t="str">
        <f aca="false">LEFT('LT records'!$E804,3)</f>
        <v>CSH</v>
      </c>
      <c r="G804" s="354" t="str">
        <f aca="false">IF(OR('LT records'!$F804="MyF", 'LT records'!$F804="DEP"),"DEP",IF('LT records'!$F804="CSH","CSH",IF('LT records'!$F804="BON","BND",IF('LT records'!$F804="Sma","MKT",IF(OR('LT records'!$F804="Val", 'LT records'!$F804="EUR"),"FCY",IF('LT records'!$F804="X-P","PP3",IF('LT records'!$F804="X-m","XAU","???")))))))</f>
        <v>CSH</v>
      </c>
      <c r="H804" s="325" t="n">
        <v>-300</v>
      </c>
      <c r="I804" s="340"/>
      <c r="J804" s="340"/>
      <c r="K804" s="340"/>
      <c r="L804" s="341" t="s">
        <v>716</v>
      </c>
      <c r="M804" s="350" t="str">
        <f aca="false">YEAR('LT records'!$B804)&amp;"-"&amp;MONTH('LT records'!$B804)</f>
        <v>2021-2</v>
      </c>
      <c r="N804" s="343" t="n">
        <f aca="false">'LT records'!$H804+'LT records'!$I804</f>
        <v>-300</v>
      </c>
      <c r="Q804" s="326"/>
    </row>
    <row r="805" customFormat="false" ht="12.8" hidden="false" customHeight="false" outlineLevel="0" collapsed="false">
      <c r="B805" s="351" t="n">
        <v>44249</v>
      </c>
      <c r="C805" s="348" t="n">
        <f aca="false">YEAR('LT records'!$B805)</f>
        <v>2021</v>
      </c>
      <c r="D805" s="346" t="str">
        <f aca="false">'LT records'!$C805&amp;"-"&amp;MONTH('LT records'!$B805)</f>
        <v>2021-2</v>
      </c>
      <c r="E805" s="324" t="s">
        <v>311</v>
      </c>
      <c r="F805" s="324" t="str">
        <f aca="false">LEFT('LT records'!$E805,3)</f>
        <v>REN</v>
      </c>
      <c r="G805" s="354" t="str">
        <f aca="false">IF(OR('LT records'!$F805="MyF", 'LT records'!$F805="DEP"),"DEP",IF('LT records'!$F805="CSH","CSH",IF('LT records'!$F805="BON","BND",IF('LT records'!$F805="Sma","MKT",IF(OR('LT records'!$F805="Val", 'LT records'!$F805="EUR"),"FCY",IF('LT records'!$F805="X-P","PP3",IF('LT records'!$F805="X-m","XAU","???")))))))</f>
        <v>???</v>
      </c>
      <c r="H805" s="325" t="n">
        <v>40</v>
      </c>
      <c r="I805" s="340"/>
      <c r="J805" s="340"/>
      <c r="K805" s="340"/>
      <c r="L805" s="341" t="s">
        <v>682</v>
      </c>
      <c r="M805" s="350" t="str">
        <f aca="false">YEAR('LT records'!$B805)&amp;"-"&amp;MONTH('LT records'!$B805)</f>
        <v>2021-2</v>
      </c>
      <c r="N805" s="343" t="n">
        <f aca="false">'LT records'!$H805+'LT records'!$I805</f>
        <v>40</v>
      </c>
      <c r="Q805" s="326"/>
    </row>
    <row r="806" customFormat="false" ht="12.8" hidden="false" customHeight="false" outlineLevel="0" collapsed="false">
      <c r="B806" s="351" t="n">
        <v>44251</v>
      </c>
      <c r="C806" s="348" t="n">
        <f aca="false">YEAR('LT records'!$B806)</f>
        <v>2021</v>
      </c>
      <c r="D806" s="346" t="str">
        <f aca="false">'LT records'!$C806&amp;"-"&amp;MONTH('LT records'!$B806)</f>
        <v>2021-2</v>
      </c>
      <c r="E806" s="324" t="s">
        <v>14</v>
      </c>
      <c r="F806" s="324" t="str">
        <f aca="false">LEFT('LT records'!$E806,3)</f>
        <v>CSH</v>
      </c>
      <c r="G806" s="354" t="str">
        <f aca="false">IF(OR('LT records'!$F806="MyF", 'LT records'!$F806="DEP"),"DEP",IF('LT records'!$F806="CSH","CSH",IF('LT records'!$F806="BON","BND",IF('LT records'!$F806="Sma","MKT",IF(OR('LT records'!$F806="Val", 'LT records'!$F806="EUR"),"FCY",IF('LT records'!$F806="X-P","PP3",IF('LT records'!$F806="X-m","XAU","???")))))))</f>
        <v>CSH</v>
      </c>
      <c r="H806" s="325" t="n">
        <f aca="false">-130-100-100</f>
        <v>-330</v>
      </c>
      <c r="I806" s="340"/>
      <c r="J806" s="340"/>
      <c r="K806" s="340"/>
      <c r="L806" s="341" t="s">
        <v>717</v>
      </c>
      <c r="M806" s="350" t="str">
        <f aca="false">YEAR('LT records'!$B806)&amp;"-"&amp;MONTH('LT records'!$B806)</f>
        <v>2021-2</v>
      </c>
      <c r="N806" s="343" t="n">
        <f aca="false">'LT records'!$H806+'LT records'!$I806</f>
        <v>-330</v>
      </c>
      <c r="Q806" s="326"/>
    </row>
    <row r="807" customFormat="false" ht="12.8" hidden="false" customHeight="false" outlineLevel="0" collapsed="false">
      <c r="B807" s="351" t="n">
        <v>44253</v>
      </c>
      <c r="C807" s="348" t="n">
        <f aca="false">YEAR('LT records'!$B807)</f>
        <v>2021</v>
      </c>
      <c r="D807" s="346" t="str">
        <f aca="false">'LT records'!$C807&amp;"-"&amp;MONTH('LT records'!$B807)</f>
        <v>2021-2</v>
      </c>
      <c r="E807" s="324" t="s">
        <v>444</v>
      </c>
      <c r="F807" s="324" t="str">
        <f aca="false">LEFT('LT records'!$E807,3)</f>
        <v>Val</v>
      </c>
      <c r="G807" s="354" t="str">
        <f aca="false">IF(OR('LT records'!$F807="MyF", 'LT records'!$F807="DEP"),"DEP",IF('LT records'!$F807="CSH","CSH",IF('LT records'!$F807="BON","BND",IF('LT records'!$F807="Sma","MKT",IF(OR('LT records'!$F807="Val", 'LT records'!$F807="EUR"),"FCY",IF('LT records'!$F807="X-P","PP3",IF('LT records'!$F807="X-m","XAU","???")))))))</f>
        <v>FCY</v>
      </c>
      <c r="H807" s="325" t="n">
        <v>0</v>
      </c>
      <c r="I807" s="340"/>
      <c r="J807" s="340" t="n">
        <v>-0.7</v>
      </c>
      <c r="K807" s="340"/>
      <c r="L807" s="341" t="s">
        <v>718</v>
      </c>
      <c r="M807" s="350" t="str">
        <f aca="false">YEAR('LT records'!$B807)&amp;"-"&amp;MONTH('LT records'!$B807)</f>
        <v>2021-2</v>
      </c>
      <c r="N807" s="343" t="n">
        <f aca="false">'LT records'!$H807+'LT records'!$I807</f>
        <v>0</v>
      </c>
    </row>
    <row r="808" customFormat="false" ht="12.8" hidden="false" customHeight="false" outlineLevel="0" collapsed="false">
      <c r="B808" s="351" t="n">
        <v>44255</v>
      </c>
      <c r="C808" s="348" t="n">
        <f aca="false">YEAR('LT records'!$B808)</f>
        <v>2021</v>
      </c>
      <c r="D808" s="346" t="str">
        <f aca="false">'LT records'!$C808&amp;"-"&amp;MONTH('LT records'!$B808)</f>
        <v>2021-2</v>
      </c>
      <c r="E808" s="324" t="s">
        <v>14</v>
      </c>
      <c r="F808" s="324" t="str">
        <f aca="false">LEFT('LT records'!$E808,3)</f>
        <v>CSH</v>
      </c>
      <c r="G808" s="354" t="str">
        <f aca="false">IF(OR('LT records'!$F808="MyF", 'LT records'!$F808="DEP"),"DEP",IF('LT records'!$F808="CSH","CSH",IF('LT records'!$F808="BON","BND",IF('LT records'!$F808="Sma","MKT",IF(OR('LT records'!$F808="Val", 'LT records'!$F808="EUR"),"FCY",IF('LT records'!$F808="X-P","PP3",IF('LT records'!$F808="X-m","XAU","???")))))))</f>
        <v>CSH</v>
      </c>
      <c r="H808" s="325" t="n">
        <f aca="false">-135-190+50-532-130</f>
        <v>-937</v>
      </c>
      <c r="I808" s="340" t="n">
        <v>1.08</v>
      </c>
      <c r="J808" s="340"/>
      <c r="K808" s="340"/>
      <c r="L808" s="341"/>
      <c r="M808" s="350" t="str">
        <f aca="false">YEAR('LT records'!$B808)&amp;"-"&amp;MONTH('LT records'!$B808)</f>
        <v>2021-2</v>
      </c>
      <c r="N808" s="343" t="n">
        <f aca="false">'LT records'!$H808+'LT records'!$I808</f>
        <v>-935.92</v>
      </c>
    </row>
    <row r="809" customFormat="false" ht="12.8" hidden="false" customHeight="false" outlineLevel="0" collapsed="false">
      <c r="B809" s="351" t="n">
        <v>44258</v>
      </c>
      <c r="C809" s="348" t="n">
        <f aca="false">YEAR('LT records'!$B809)</f>
        <v>2021</v>
      </c>
      <c r="D809" s="346" t="str">
        <f aca="false">'LT records'!$C809&amp;"-"&amp;MONTH('LT records'!$B809)</f>
        <v>2021-3</v>
      </c>
      <c r="E809" s="324" t="s">
        <v>296</v>
      </c>
      <c r="F809" s="324" t="str">
        <f aca="false">LEFT('LT records'!$E809,3)</f>
        <v>DEP</v>
      </c>
      <c r="G809" s="354" t="str">
        <f aca="false">IF(OR('LT records'!$F809="MyF", 'LT records'!$F809="DEP"),"DEP",IF('LT records'!$F809="CSH","CSH",IF('LT records'!$F809="BON","BND",IF('LT records'!$F809="Sma","MKT",IF(OR('LT records'!$F809="Val", 'LT records'!$F809="EUR"),"FCY",IF('LT records'!$F809="X-P","PP3",IF('LT records'!$F809="X-m","XAU","???")))))))</f>
        <v>DEP</v>
      </c>
      <c r="H809" s="325" t="n">
        <v>0</v>
      </c>
      <c r="I809" s="340" t="n">
        <v>484.89</v>
      </c>
      <c r="J809" s="340"/>
      <c r="K809" s="340"/>
      <c r="L809" s="341" t="s">
        <v>40</v>
      </c>
      <c r="M809" s="350" t="str">
        <f aca="false">YEAR('LT records'!$B809)&amp;"-"&amp;MONTH('LT records'!$B809)</f>
        <v>2021-3</v>
      </c>
      <c r="N809" s="343" t="n">
        <f aca="false">'LT records'!$H809+'LT records'!$I809</f>
        <v>484.89</v>
      </c>
    </row>
    <row r="810" customFormat="false" ht="12.8" hidden="false" customHeight="false" outlineLevel="0" collapsed="false">
      <c r="B810" s="351" t="n">
        <v>44258</v>
      </c>
      <c r="C810" s="348" t="n">
        <f aca="false">YEAR('LT records'!$B810)</f>
        <v>2021</v>
      </c>
      <c r="D810" s="346" t="str">
        <f aca="false">'LT records'!$C810&amp;"-"&amp;MONTH('LT records'!$B810)</f>
        <v>2021-3</v>
      </c>
      <c r="E810" s="324" t="s">
        <v>564</v>
      </c>
      <c r="F810" s="324" t="str">
        <f aca="false">LEFT('LT records'!$E810,3)</f>
        <v>EUR</v>
      </c>
      <c r="G810" s="354" t="str">
        <f aca="false">IF(OR('LT records'!$F810="MyF", 'LT records'!$F810="DEP"),"DEP",IF('LT records'!$F810="CSH","CSH",IF('LT records'!$F810="BON","BND",IF('LT records'!$F810="Sma","MKT",IF(OR('LT records'!$F810="Val", 'LT records'!$F810="EUR"),"FCY",IF('LT records'!$F810="X-P","PP3",IF('LT records'!$F810="X-m","XAU","???")))))))</f>
        <v>FCY</v>
      </c>
      <c r="H810" s="325" t="n">
        <v>0</v>
      </c>
      <c r="I810" s="340"/>
      <c r="J810" s="340" t="n">
        <v>-838</v>
      </c>
      <c r="K810" s="340" t="n">
        <v>3</v>
      </c>
      <c r="L810" s="341" t="s">
        <v>719</v>
      </c>
      <c r="M810" s="350" t="str">
        <f aca="false">YEAR('LT records'!$B810)&amp;"-"&amp;MONTH('LT records'!$B810)</f>
        <v>2021-3</v>
      </c>
      <c r="N810" s="343" t="n">
        <f aca="false">'LT records'!$H810+'LT records'!$I810</f>
        <v>0</v>
      </c>
    </row>
    <row r="811" customFormat="false" ht="12.8" hidden="false" customHeight="false" outlineLevel="0" collapsed="false">
      <c r="B811" s="351" t="n">
        <v>44258</v>
      </c>
      <c r="C811" s="348" t="n">
        <f aca="false">YEAR('LT records'!$B811)</f>
        <v>2021</v>
      </c>
      <c r="D811" s="346" t="str">
        <f aca="false">'LT records'!$C811&amp;"-"&amp;MONTH('LT records'!$B811)</f>
        <v>2021-3</v>
      </c>
      <c r="E811" s="324" t="s">
        <v>14</v>
      </c>
      <c r="F811" s="324" t="str">
        <f aca="false">LEFT('LT records'!$E811,3)</f>
        <v>CSH</v>
      </c>
      <c r="G811" s="354" t="str">
        <f aca="false">IF(OR('LT records'!$F811="MyF", 'LT records'!$F811="DEP"),"DEP",IF('LT records'!$F811="CSH","CSH",IF('LT records'!$F811="BON","BND",IF('LT records'!$F811="Sma","MKT",IF(OR('LT records'!$F811="Val", 'LT records'!$F811="EUR"),"FCY",IF('LT records'!$F811="X-P","PP3",IF('LT records'!$F811="X-m","XAU","???")))))))</f>
        <v>CSH</v>
      </c>
      <c r="H811" s="325" t="n">
        <f aca="false">1360+40-10</f>
        <v>1390</v>
      </c>
      <c r="I811" s="340"/>
      <c r="J811" s="340"/>
      <c r="K811" s="340"/>
      <c r="L811" s="341" t="s">
        <v>462</v>
      </c>
      <c r="M811" s="350" t="str">
        <f aca="false">YEAR('LT records'!$B811)&amp;"-"&amp;MONTH('LT records'!$B811)</f>
        <v>2021-3</v>
      </c>
      <c r="N811" s="343" t="n">
        <f aca="false">'LT records'!$H811+'LT records'!$I811</f>
        <v>1390</v>
      </c>
    </row>
    <row r="812" customFormat="false" ht="12.8" hidden="false" customHeight="false" outlineLevel="0" collapsed="false">
      <c r="B812" s="351" t="n">
        <v>44258</v>
      </c>
      <c r="C812" s="348" t="n">
        <f aca="false">YEAR('LT records'!$B812)</f>
        <v>2021</v>
      </c>
      <c r="D812" s="346" t="str">
        <f aca="false">'LT records'!$C812&amp;"-"&amp;MONTH('LT records'!$B812)</f>
        <v>2021-3</v>
      </c>
      <c r="E812" s="324" t="s">
        <v>311</v>
      </c>
      <c r="F812" s="324" t="str">
        <f aca="false">LEFT('LT records'!$E812,3)</f>
        <v>REN</v>
      </c>
      <c r="G812" s="354" t="str">
        <f aca="false">IF(OR('LT records'!$F812="MyF", 'LT records'!$F812="DEP"),"DEP",IF('LT records'!$F812="CSH","CSH",IF('LT records'!$F812="BON","BND",IF('LT records'!$F812="Sma","MKT",IF(OR('LT records'!$F812="Val", 'LT records'!$F812="EUR"),"FCY",IF('LT records'!$F812="X-P","PP3",IF('LT records'!$F812="X-m","XAU","???")))))))</f>
        <v>???</v>
      </c>
      <c r="H812" s="325" t="n">
        <v>600</v>
      </c>
      <c r="I812" s="340"/>
      <c r="J812" s="340"/>
      <c r="K812" s="340"/>
      <c r="L812" s="341" t="s">
        <v>682</v>
      </c>
      <c r="M812" s="350" t="str">
        <f aca="false">YEAR('LT records'!$B812)&amp;"-"&amp;MONTH('LT records'!$B812)</f>
        <v>2021-3</v>
      </c>
      <c r="N812" s="343" t="n">
        <f aca="false">'LT records'!$H812+'LT records'!$I812</f>
        <v>600</v>
      </c>
    </row>
    <row r="813" customFormat="false" ht="12.8" hidden="false" customHeight="false" outlineLevel="0" collapsed="false">
      <c r="B813" s="351" t="n">
        <v>44266</v>
      </c>
      <c r="C813" s="348" t="n">
        <f aca="false">YEAR('LT records'!$B813)</f>
        <v>2021</v>
      </c>
      <c r="D813" s="346" t="str">
        <f aca="false">'LT records'!$C813&amp;"-"&amp;MONTH('LT records'!$B813)</f>
        <v>2021-3</v>
      </c>
      <c r="E813" s="324" t="s">
        <v>14</v>
      </c>
      <c r="F813" s="324" t="str">
        <f aca="false">LEFT('LT records'!$E813,3)</f>
        <v>CSH</v>
      </c>
      <c r="G813" s="354" t="str">
        <f aca="false">IF(OR('LT records'!$F813="MyF", 'LT records'!$F813="DEP"),"DEP",IF('LT records'!$F813="CSH","CSH",IF('LT records'!$F813="BON","BND",IF('LT records'!$F813="Sma","MKT",IF(OR('LT records'!$F813="Val", 'LT records'!$F813="EUR"),"FCY",IF('LT records'!$F813="X-P","PP3",IF('LT records'!$F813="X-m","XAU","???")))))))</f>
        <v>CSH</v>
      </c>
      <c r="H813" s="325" t="n">
        <f aca="false">-148-21-138-126</f>
        <v>-433</v>
      </c>
      <c r="I813" s="340"/>
      <c r="J813" s="340"/>
      <c r="K813" s="340"/>
      <c r="L813" s="341" t="s">
        <v>720</v>
      </c>
      <c r="M813" s="350" t="str">
        <f aca="false">YEAR('LT records'!$B813)&amp;"-"&amp;MONTH('LT records'!$B813)</f>
        <v>2021-3</v>
      </c>
      <c r="N813" s="343" t="n">
        <f aca="false">'LT records'!$H813+'LT records'!$I813</f>
        <v>-433</v>
      </c>
    </row>
    <row r="814" customFormat="false" ht="12.8" hidden="false" customHeight="false" outlineLevel="0" collapsed="false">
      <c r="B814" s="351" t="n">
        <v>44271</v>
      </c>
      <c r="C814" s="348" t="n">
        <f aca="false">YEAR('LT records'!$B814)</f>
        <v>2021</v>
      </c>
      <c r="D814" s="346" t="str">
        <f aca="false">'LT records'!$C814&amp;"-"&amp;MONTH('LT records'!$B814)</f>
        <v>2021-3</v>
      </c>
      <c r="E814" s="324" t="s">
        <v>322</v>
      </c>
      <c r="F814" s="324" t="str">
        <f aca="false">LEFT('LT records'!$E814,3)</f>
        <v>X-m</v>
      </c>
      <c r="G814" s="354" t="str">
        <f aca="false">IF(OR('LT records'!$F814="MyF", 'LT records'!$F814="DEP"),"DEP",IF('LT records'!$F814="CSH","CSH",IF('LT records'!$F814="BON","BND",IF('LT records'!$F814="Sma","MKT",IF(OR('LT records'!$F814="Val", 'LT records'!$F814="EUR"),"FCY",IF('LT records'!$F814="X-P","PP3",IF('LT records'!$F814="X-m","XAU","???")))))))</f>
        <v>XAU</v>
      </c>
      <c r="H814" s="325" t="n">
        <v>-11354</v>
      </c>
      <c r="I814" s="340"/>
      <c r="J814" s="340"/>
      <c r="K814" s="340"/>
      <c r="L814" s="341" t="s">
        <v>721</v>
      </c>
      <c r="M814" s="350" t="str">
        <f aca="false">YEAR('LT records'!$B814)&amp;"-"&amp;MONTH('LT records'!$B814)</f>
        <v>2021-3</v>
      </c>
      <c r="N814" s="343" t="n">
        <f aca="false">'LT records'!$H814+'LT records'!$I814</f>
        <v>-11354</v>
      </c>
    </row>
    <row r="815" customFormat="false" ht="12.8" hidden="false" customHeight="false" outlineLevel="0" collapsed="false">
      <c r="B815" s="351" t="n">
        <v>44271</v>
      </c>
      <c r="C815" s="348" t="n">
        <f aca="false">YEAR('LT records'!$B815)</f>
        <v>2021</v>
      </c>
      <c r="D815" s="346" t="str">
        <f aca="false">'LT records'!$C815&amp;"-"&amp;MONTH('LT records'!$B815)</f>
        <v>2021-3</v>
      </c>
      <c r="E815" s="324" t="s">
        <v>14</v>
      </c>
      <c r="F815" s="324" t="str">
        <f aca="false">LEFT('LT records'!$E815,3)</f>
        <v>CSH</v>
      </c>
      <c r="G815" s="354" t="str">
        <f aca="false">IF(OR('LT records'!$F815="MyF", 'LT records'!$F815="DEP"),"DEP",IF('LT records'!$F815="CSH","CSH",IF('LT records'!$F815="BON","BND",IF('LT records'!$F815="Sma","MKT",IF(OR('LT records'!$F815="Val", 'LT records'!$F815="EUR"),"FCY",IF('LT records'!$F815="X-P","PP3",IF('LT records'!$F815="X-m","XAU","???")))))))</f>
        <v>CSH</v>
      </c>
      <c r="H815" s="325" t="n">
        <f aca="false">11000</f>
        <v>11000</v>
      </c>
      <c r="I815" s="340"/>
      <c r="J815" s="340"/>
      <c r="K815" s="340"/>
      <c r="L815" s="341" t="s">
        <v>56</v>
      </c>
      <c r="M815" s="350" t="str">
        <f aca="false">YEAR('LT records'!$B815)&amp;"-"&amp;MONTH('LT records'!$B815)</f>
        <v>2021-3</v>
      </c>
      <c r="N815" s="343" t="n">
        <f aca="false">'LT records'!$H815+'LT records'!$I815</f>
        <v>11000</v>
      </c>
    </row>
    <row r="816" customFormat="false" ht="12.8" hidden="false" customHeight="false" outlineLevel="0" collapsed="false">
      <c r="B816" s="351" t="n">
        <v>44277</v>
      </c>
      <c r="C816" s="355" t="n">
        <f aca="false">YEAR('LT records'!$B816)</f>
        <v>2021</v>
      </c>
      <c r="D816" s="356" t="str">
        <f aca="false">'LT records'!$C816&amp;"-"&amp;MONTH('LT records'!$B816)</f>
        <v>2021-3</v>
      </c>
      <c r="E816" s="357" t="s">
        <v>311</v>
      </c>
      <c r="F816" s="357" t="str">
        <f aca="false">LEFT('LT records'!$E816,3)</f>
        <v>REN</v>
      </c>
      <c r="G816" s="358" t="str">
        <f aca="false">IF(OR('LT records'!$F816="MyF", 'LT records'!$F816="DEP"),"DEP",IF('LT records'!$F816="CSH","CSH",IF('LT records'!$F816="BON","BND",IF('LT records'!$F816="Sma","MKT",IF(OR('LT records'!$F816="Val", 'LT records'!$F816="EUR"),"FCY",IF('LT records'!$F816="X-P","PP3",IF('LT records'!$F816="X-m","XAU","???")))))))</f>
        <v>???</v>
      </c>
      <c r="H816" s="359" t="n">
        <v>650</v>
      </c>
      <c r="I816" s="360"/>
      <c r="J816" s="360"/>
      <c r="K816" s="360"/>
      <c r="L816" s="361" t="s">
        <v>722</v>
      </c>
      <c r="M816" s="362" t="str">
        <f aca="false">YEAR('LT records'!$B816)&amp;"-"&amp;MONTH('LT records'!$B816)</f>
        <v>2021-3</v>
      </c>
      <c r="N816" s="363" t="n">
        <f aca="false">'LT records'!$H816+'LT records'!$I816</f>
        <v>650</v>
      </c>
    </row>
    <row r="817" customFormat="false" ht="12.8" hidden="false" customHeight="false" outlineLevel="0" collapsed="false">
      <c r="B817" s="351" t="n">
        <v>44282</v>
      </c>
      <c r="C817" s="348" t="n">
        <f aca="false">YEAR('LT records'!$B817)</f>
        <v>2021</v>
      </c>
      <c r="D817" s="346" t="str">
        <f aca="false">'LT records'!$C817&amp;"-"&amp;MONTH('LT records'!$B817)</f>
        <v>2021-3</v>
      </c>
      <c r="E817" s="324" t="s">
        <v>14</v>
      </c>
      <c r="F817" s="324" t="str">
        <f aca="false">LEFT('LT records'!$E817,3)</f>
        <v>CSH</v>
      </c>
      <c r="G817" s="354" t="str">
        <f aca="false">IF(OR('LT records'!$F817="MyF", 'LT records'!$F817="DEP"),"DEP",IF('LT records'!$F817="CSH","CSH",IF('LT records'!$F817="BON","BND",IF('LT records'!$F817="Sma","MKT",IF(OR('LT records'!$F817="Val", 'LT records'!$F817="EUR"),"FCY",IF('LT records'!$F817="X-P","PP3",IF('LT records'!$F817="X-m","XAU","???")))))))</f>
        <v>CSH</v>
      </c>
      <c r="H817" s="325" t="n">
        <f aca="false">-720-130-150-330-50-150-8</f>
        <v>-1538</v>
      </c>
      <c r="I817" s="340" t="n">
        <v>3.67</v>
      </c>
      <c r="J817" s="340"/>
      <c r="K817" s="340"/>
      <c r="L817" s="341" t="s">
        <v>723</v>
      </c>
      <c r="M817" s="350" t="str">
        <f aca="false">YEAR('LT records'!$B817)&amp;"-"&amp;MONTH('LT records'!$B817)</f>
        <v>2021-3</v>
      </c>
      <c r="N817" s="343" t="n">
        <f aca="false">'LT records'!$H817+'LT records'!$I817</f>
        <v>-1534.33</v>
      </c>
    </row>
    <row r="818" customFormat="false" ht="12.8" hidden="false" customHeight="false" outlineLevel="0" collapsed="false">
      <c r="B818" s="351" t="n">
        <v>44280</v>
      </c>
      <c r="C818" s="348" t="n">
        <f aca="false">YEAR('LT records'!$B818)</f>
        <v>2021</v>
      </c>
      <c r="D818" s="346" t="str">
        <f aca="false">'LT records'!$C818&amp;"-"&amp;MONTH('LT records'!$B818)</f>
        <v>2021-3</v>
      </c>
      <c r="E818" s="324" t="s">
        <v>318</v>
      </c>
      <c r="F818" s="324" t="str">
        <f aca="false">LEFT('LT records'!$E818,3)</f>
        <v>X-P</v>
      </c>
      <c r="G818" s="354" t="str">
        <f aca="false">IF(OR('LT records'!$F818="MyF", 'LT records'!$F818="DEP"),"DEP",IF('LT records'!$F818="CSH","CSH",IF('LT records'!$F818="BON","BND",IF('LT records'!$F818="Sma","MKT",IF(OR('LT records'!$F818="Val", 'LT records'!$F818="EUR"),"FCY",IF('LT records'!$F818="X-P","PP3",IF('LT records'!$F818="X-m","XAU","???")))))))</f>
        <v>PP3</v>
      </c>
      <c r="H818" s="325" t="n">
        <v>200</v>
      </c>
      <c r="I818" s="340"/>
      <c r="J818" s="340"/>
      <c r="K818" s="340"/>
      <c r="L818" s="341" t="s">
        <v>724</v>
      </c>
      <c r="M818" s="350" t="str">
        <f aca="false">YEAR('LT records'!$B818)&amp;"-"&amp;MONTH('LT records'!$B818)</f>
        <v>2021-3</v>
      </c>
      <c r="N818" s="343" t="n">
        <f aca="false">'LT records'!$H818+'LT records'!$I818</f>
        <v>200</v>
      </c>
    </row>
    <row r="819" customFormat="false" ht="12.8" hidden="false" customHeight="false" outlineLevel="0" collapsed="false">
      <c r="B819" s="351" t="n">
        <v>44283</v>
      </c>
      <c r="C819" s="348" t="n">
        <f aca="false">YEAR('LT records'!$B819)</f>
        <v>2021</v>
      </c>
      <c r="D819" s="346" t="str">
        <f aca="false">'LT records'!$C819&amp;"-"&amp;MONTH('LT records'!$B819)</f>
        <v>2021-3</v>
      </c>
      <c r="E819" s="324" t="s">
        <v>14</v>
      </c>
      <c r="F819" s="324" t="str">
        <f aca="false">LEFT('LT records'!$E819,3)</f>
        <v>CSH</v>
      </c>
      <c r="G819" s="354" t="str">
        <f aca="false">IF(OR('LT records'!$F819="MyF", 'LT records'!$F819="DEP"),"DEP",IF('LT records'!$F819="CSH","CSH",IF('LT records'!$F819="BON","BND",IF('LT records'!$F819="Sma","MKT",IF(OR('LT records'!$F819="Val", 'LT records'!$F819="EUR"),"FCY",IF('LT records'!$F819="X-P","PP3",IF('LT records'!$F819="X-m","XAU","???")))))))</f>
        <v>CSH</v>
      </c>
      <c r="H819" s="325" t="n">
        <v>50</v>
      </c>
      <c r="I819" s="340"/>
      <c r="J819" s="340"/>
      <c r="K819" s="340"/>
      <c r="L819" s="341" t="s">
        <v>551</v>
      </c>
      <c r="M819" s="350" t="str">
        <f aca="false">YEAR('LT records'!$B819)&amp;"-"&amp;MONTH('LT records'!$B819)</f>
        <v>2021-3</v>
      </c>
      <c r="N819" s="343" t="n">
        <f aca="false">'LT records'!$H819+'LT records'!$I819</f>
        <v>50</v>
      </c>
    </row>
    <row r="820" customFormat="false" ht="12.8" hidden="false" customHeight="false" outlineLevel="0" collapsed="false">
      <c r="B820" s="351" t="n">
        <v>44284</v>
      </c>
      <c r="C820" s="348" t="n">
        <f aca="false">YEAR('LT records'!$B820)</f>
        <v>2021</v>
      </c>
      <c r="D820" s="346" t="str">
        <f aca="false">'LT records'!$C820&amp;"-"&amp;MONTH('LT records'!$B820)</f>
        <v>2021-3</v>
      </c>
      <c r="E820" s="324" t="s">
        <v>14</v>
      </c>
      <c r="F820" s="324" t="str">
        <f aca="false">LEFT('LT records'!$E820,3)</f>
        <v>CSH</v>
      </c>
      <c r="G820" s="354" t="str">
        <f aca="false">IF(OR('LT records'!$F820="MyF", 'LT records'!$F820="DEP"),"DEP",IF('LT records'!$F820="CSH","CSH",IF('LT records'!$F820="BON","BND",IF('LT records'!$F820="Sma","MKT",IF(OR('LT records'!$F820="Val", 'LT records'!$F820="EUR"),"FCY",IF('LT records'!$F820="X-P","PP3",IF('LT records'!$F820="X-m","XAU","???")))))))</f>
        <v>CSH</v>
      </c>
      <c r="H820" s="325" t="n">
        <f aca="false">-140</f>
        <v>-140</v>
      </c>
      <c r="I820" s="340"/>
      <c r="J820" s="340"/>
      <c r="K820" s="340"/>
      <c r="L820" s="341" t="s">
        <v>723</v>
      </c>
      <c r="M820" s="350" t="str">
        <f aca="false">YEAR('LT records'!$B820)&amp;"-"&amp;MONTH('LT records'!$B820)</f>
        <v>2021-3</v>
      </c>
      <c r="N820" s="343" t="n">
        <f aca="false">'LT records'!$H820+'LT records'!$I820</f>
        <v>-140</v>
      </c>
    </row>
    <row r="821" customFormat="false" ht="12.8" hidden="false" customHeight="false" outlineLevel="0" collapsed="false">
      <c r="B821" s="351" t="n">
        <v>44288</v>
      </c>
      <c r="C821" s="355" t="n">
        <f aca="false">YEAR('LT records'!$B821)</f>
        <v>2021</v>
      </c>
      <c r="D821" s="356" t="str">
        <f aca="false">'LT records'!$C821&amp;"-"&amp;MONTH('LT records'!$B821)</f>
        <v>2021-4</v>
      </c>
      <c r="E821" s="357" t="s">
        <v>297</v>
      </c>
      <c r="F821" s="357" t="str">
        <f aca="false">LEFT('LT records'!$E821,3)</f>
        <v>DEP</v>
      </c>
      <c r="G821" s="358" t="str">
        <f aca="false">IF(OR('LT records'!$F821="MyF", 'LT records'!$F821="DEP"),"DEP",IF('LT records'!$F821="CSH","CSH",IF('LT records'!$F821="BON","BND",IF('LT records'!$F821="Sma","MKT",IF(OR('LT records'!$F821="Val", 'LT records'!$F821="EUR"),"FCY",IF('LT records'!$F821="X-P","PP3",IF('LT records'!$F821="X-m","XAU","???")))))))</f>
        <v>DEP</v>
      </c>
      <c r="H821" s="359"/>
      <c r="I821" s="360" t="n">
        <v>437.85</v>
      </c>
      <c r="J821" s="360"/>
      <c r="K821" s="360"/>
      <c r="L821" s="361" t="s">
        <v>725</v>
      </c>
      <c r="M821" s="362" t="str">
        <f aca="false">YEAR('LT records'!$B821)&amp;"-"&amp;MONTH('LT records'!$B821)</f>
        <v>2021-4</v>
      </c>
      <c r="N821" s="363" t="n">
        <f aca="false">'LT records'!$H821+'LT records'!$I821</f>
        <v>437.85</v>
      </c>
    </row>
    <row r="822" customFormat="false" ht="12.8" hidden="false" customHeight="false" outlineLevel="0" collapsed="false">
      <c r="B822" s="351" t="n">
        <v>44288</v>
      </c>
      <c r="C822" s="355" t="n">
        <f aca="false">YEAR('LT records'!$B822)</f>
        <v>2021</v>
      </c>
      <c r="D822" s="356" t="str">
        <f aca="false">'LT records'!$C822&amp;"-"&amp;MONTH('LT records'!$B822)</f>
        <v>2021-4</v>
      </c>
      <c r="E822" s="357" t="s">
        <v>453</v>
      </c>
      <c r="F822" s="357" t="str">
        <f aca="false">LEFT('LT records'!$E822,3)</f>
        <v>EUR</v>
      </c>
      <c r="G822" s="358" t="str">
        <f aca="false">IF(OR('LT records'!$F822="MyF", 'LT records'!$F822="DEP"),"DEP",IF('LT records'!$F822="CSH","CSH",IF('LT records'!$F822="BON","BND",IF('LT records'!$F822="Sma","MKT",IF(OR('LT records'!$F822="Val", 'LT records'!$F822="EUR"),"FCY",IF('LT records'!$F822="X-P","PP3",IF('LT records'!$F822="X-m","XAU","???")))))))</f>
        <v>FCY</v>
      </c>
      <c r="H822" s="359"/>
      <c r="I822" s="360"/>
      <c r="J822" s="360" t="n">
        <v>-200</v>
      </c>
      <c r="K822" s="360" t="n">
        <v>2.25</v>
      </c>
      <c r="L822" s="361" t="s">
        <v>725</v>
      </c>
      <c r="M822" s="362" t="str">
        <f aca="false">YEAR('LT records'!$B822)&amp;"-"&amp;MONTH('LT records'!$B822)</f>
        <v>2021-4</v>
      </c>
      <c r="N822" s="363" t="n">
        <f aca="false">'LT records'!$H822+'LT records'!$I822</f>
        <v>0</v>
      </c>
    </row>
    <row r="823" customFormat="false" ht="12.8" hidden="false" customHeight="false" outlineLevel="0" collapsed="false">
      <c r="B823" s="351" t="n">
        <v>44308</v>
      </c>
      <c r="C823" s="348" t="n">
        <f aca="false">YEAR('LT records'!$B823)</f>
        <v>2021</v>
      </c>
      <c r="D823" s="346" t="str">
        <f aca="false">'LT records'!$C823&amp;"-"&amp;MONTH('LT records'!$B823)</f>
        <v>2021-4</v>
      </c>
      <c r="E823" s="324" t="s">
        <v>14</v>
      </c>
      <c r="F823" s="324" t="str">
        <f aca="false">LEFT('LT records'!$E823,3)</f>
        <v>CSH</v>
      </c>
      <c r="G823" s="354" t="str">
        <f aca="false">IF(OR('LT records'!$F823="MyF", 'LT records'!$F823="DEP"),"DEP",IF('LT records'!$F823="CSH","CSH",IF('LT records'!$F823="BON","BND",IF('LT records'!$F823="Sma","MKT",IF(OR('LT records'!$F823="Val", 'LT records'!$F823="EUR"),"FCY",IF('LT records'!$F823="X-P","PP3",IF('LT records'!$F823="X-m","XAU","???")))))))</f>
        <v>CSH</v>
      </c>
      <c r="H823" s="359" t="n">
        <f aca="false">-2140+828-120-150+10-700</f>
        <v>-2272</v>
      </c>
      <c r="I823" s="340"/>
      <c r="J823" s="340"/>
      <c r="K823" s="340"/>
      <c r="L823" s="341" t="s">
        <v>723</v>
      </c>
      <c r="M823" s="350" t="str">
        <f aca="false">YEAR('LT records'!$B823)&amp;"-"&amp;MONTH('LT records'!$B823)</f>
        <v>2021-4</v>
      </c>
      <c r="N823" s="343" t="n">
        <f aca="false">'LT records'!$H823+'LT records'!$I823</f>
        <v>-2272</v>
      </c>
    </row>
    <row r="824" customFormat="false" ht="12.8" hidden="false" customHeight="false" outlineLevel="0" collapsed="false">
      <c r="B824" s="351" t="n">
        <v>44308</v>
      </c>
      <c r="C824" s="355" t="n">
        <f aca="false">YEAR('LT records'!$B824)</f>
        <v>2021</v>
      </c>
      <c r="D824" s="356" t="str">
        <f aca="false">'LT records'!$C824&amp;"-"&amp;MONTH('LT records'!$B824)</f>
        <v>2021-4</v>
      </c>
      <c r="E824" s="357" t="s">
        <v>311</v>
      </c>
      <c r="F824" s="357" t="str">
        <f aca="false">LEFT('LT records'!$E824,3)</f>
        <v>REN</v>
      </c>
      <c r="G824" s="358" t="str">
        <f aca="false">IF(OR('LT records'!$F824="MyF", 'LT records'!$F824="DEP"),"DEP",IF('LT records'!$F824="CSH","CSH",IF('LT records'!$F824="BON","BND",IF('LT records'!$F824="Sma","MKT",IF(OR('LT records'!$F824="Val", 'LT records'!$F824="EUR"),"FCY",IF('LT records'!$F824="X-P","PP3",IF('LT records'!$F824="X-m","XAU","???")))))))</f>
        <v>???</v>
      </c>
      <c r="H824" s="359" t="n">
        <v>-40</v>
      </c>
      <c r="I824" s="360"/>
      <c r="J824" s="360"/>
      <c r="K824" s="360"/>
      <c r="L824" s="361" t="s">
        <v>682</v>
      </c>
      <c r="M824" s="362" t="str">
        <f aca="false">YEAR('LT records'!$B824)&amp;"-"&amp;MONTH('LT records'!$B824)</f>
        <v>2021-4</v>
      </c>
      <c r="N824" s="363" t="n">
        <f aca="false">'LT records'!$H824+'LT records'!$I824</f>
        <v>-40</v>
      </c>
    </row>
    <row r="825" customFormat="false" ht="12.8" hidden="false" customHeight="false" outlineLevel="0" collapsed="false">
      <c r="B825" s="351" t="n">
        <v>44311</v>
      </c>
      <c r="C825" s="355" t="n">
        <f aca="false">YEAR('LT records'!$B825)</f>
        <v>2021</v>
      </c>
      <c r="D825" s="356" t="str">
        <f aca="false">'LT records'!$C825&amp;"-"&amp;MONTH('LT records'!$B825)</f>
        <v>2021-4</v>
      </c>
      <c r="E825" s="324" t="s">
        <v>318</v>
      </c>
      <c r="F825" s="324" t="str">
        <f aca="false">LEFT('LT records'!$E825,3)</f>
        <v>X-P</v>
      </c>
      <c r="G825" s="354" t="str">
        <f aca="false">IF(OR('LT records'!$F825="MyF", 'LT records'!$F825="DEP"),"DEP",IF('LT records'!$F825="CSH","CSH",IF('LT records'!$F825="BON","BND",IF('LT records'!$F825="Sma","MKT",IF(OR('LT records'!$F825="Val", 'LT records'!$F825="EUR"),"FCY",IF('LT records'!$F825="X-P","PP3",IF('LT records'!$F825="X-m","XAU","???")))))))</f>
        <v>PP3</v>
      </c>
      <c r="H825" s="325" t="n">
        <v>200</v>
      </c>
      <c r="I825" s="340"/>
      <c r="J825" s="340"/>
      <c r="K825" s="340"/>
      <c r="L825" s="341" t="s">
        <v>724</v>
      </c>
      <c r="M825" s="362" t="str">
        <f aca="false">YEAR('LT records'!$B825)&amp;"-"&amp;MONTH('LT records'!$B825)</f>
        <v>2021-4</v>
      </c>
      <c r="N825" s="363" t="n">
        <f aca="false">'LT records'!$H825+'LT records'!$I825</f>
        <v>200</v>
      </c>
    </row>
    <row r="826" customFormat="false" ht="12.8" hidden="false" customHeight="false" outlineLevel="0" collapsed="false">
      <c r="B826" s="364" t="n">
        <v>44314</v>
      </c>
      <c r="C826" s="355" t="n">
        <f aca="false">YEAR('LT records'!$B826)</f>
        <v>2021</v>
      </c>
      <c r="D826" s="356" t="str">
        <f aca="false">'LT records'!$C826&amp;"-"&amp;MONTH('LT records'!$B826)</f>
        <v>2021-4</v>
      </c>
      <c r="E826" s="324" t="s">
        <v>14</v>
      </c>
      <c r="F826" s="357" t="str">
        <f aca="false">LEFT('LT records'!$E826,3)</f>
        <v>CSH</v>
      </c>
      <c r="G826" s="358" t="str">
        <f aca="false">IF(OR('LT records'!$F826="MyF", 'LT records'!$F826="DEP"),"DEP",IF('LT records'!$F826="CSH","CSH",IF('LT records'!$F826="BON","BND",IF('LT records'!$F826="Sma","MKT",IF(OR('LT records'!$F826="Val", 'LT records'!$F826="EUR"),"FCY",IF('LT records'!$F826="X-P","PP3",IF('LT records'!$F826="X-m","XAU","???")))))))</f>
        <v>CSH</v>
      </c>
      <c r="H826" s="359"/>
      <c r="I826" s="360" t="n">
        <v>6.79</v>
      </c>
      <c r="J826" s="360"/>
      <c r="K826" s="360"/>
      <c r="L826" s="341" t="s">
        <v>726</v>
      </c>
      <c r="M826" s="362" t="str">
        <f aca="false">YEAR('LT records'!$B826)&amp;"-"&amp;MONTH('LT records'!$B826)</f>
        <v>2021-4</v>
      </c>
      <c r="N826" s="363" t="n">
        <f aca="false">'LT records'!$H826+'LT records'!$I826</f>
        <v>6.79</v>
      </c>
    </row>
    <row r="827" customFormat="false" ht="12.8" hidden="false" customHeight="false" outlineLevel="0" collapsed="false">
      <c r="B827" s="364" t="n">
        <v>44319</v>
      </c>
      <c r="C827" s="355" t="n">
        <f aca="false">YEAR('LT records'!$B827)</f>
        <v>2021</v>
      </c>
      <c r="D827" s="356" t="str">
        <f aca="false">'LT records'!$C827&amp;"-"&amp;MONTH('LT records'!$B827)</f>
        <v>2021-5</v>
      </c>
      <c r="E827" s="324" t="s">
        <v>14</v>
      </c>
      <c r="F827" s="357" t="str">
        <f aca="false">LEFT('LT records'!$E827,3)</f>
        <v>CSH</v>
      </c>
      <c r="G827" s="358" t="str">
        <f aca="false">IF(OR('LT records'!$F827="MyF", 'LT records'!$F827="DEP"),"DEP",IF('LT records'!$F827="CSH","CSH",IF('LT records'!$F827="BON","BND",IF('LT records'!$F827="Sma","MKT",IF(OR('LT records'!$F827="Val", 'LT records'!$F827="EUR"),"FCY",IF('LT records'!$F827="X-P","PP3",IF('LT records'!$F827="X-m","XAU","???")))))))</f>
        <v>CSH</v>
      </c>
      <c r="H827" s="359" t="n">
        <f aca="false">-10-90-5</f>
        <v>-105</v>
      </c>
      <c r="I827" s="360"/>
      <c r="J827" s="360"/>
      <c r="K827" s="360"/>
      <c r="L827" s="361" t="s">
        <v>727</v>
      </c>
      <c r="M827" s="362" t="str">
        <f aca="false">YEAR('LT records'!$B827)&amp;"-"&amp;MONTH('LT records'!$B827)</f>
        <v>2021-5</v>
      </c>
      <c r="N827" s="363" t="n">
        <f aca="false">'LT records'!$H827+'LT records'!$I827</f>
        <v>-105</v>
      </c>
    </row>
    <row r="828" customFormat="false" ht="12.8" hidden="false" customHeight="false" outlineLevel="0" collapsed="false">
      <c r="B828" s="364" t="n">
        <v>44320</v>
      </c>
      <c r="C828" s="355" t="n">
        <f aca="false">YEAR('LT records'!$B828)</f>
        <v>2021</v>
      </c>
      <c r="D828" s="356" t="str">
        <f aca="false">'LT records'!$C828&amp;"-"&amp;MONTH('LT records'!$B828)</f>
        <v>2021-5</v>
      </c>
      <c r="E828" s="357" t="s">
        <v>298</v>
      </c>
      <c r="F828" s="357" t="str">
        <f aca="false">LEFT('LT records'!$E828,3)</f>
        <v>DEP</v>
      </c>
      <c r="G828" s="358" t="str">
        <f aca="false">IF(OR('LT records'!$F828="MyF", 'LT records'!$F828="DEP"),"DEP",IF('LT records'!$F828="CSH","CSH",IF('LT records'!$F828="BON","BND",IF('LT records'!$F828="Sma","MKT",IF(OR('LT records'!$F828="Val", 'LT records'!$F828="EUR"),"FCY",IF('LT records'!$F828="X-P","PP3",IF('LT records'!$F828="X-m","XAU","???")))))))</f>
        <v>DEP</v>
      </c>
      <c r="H828" s="359" t="n">
        <v>0</v>
      </c>
      <c r="I828" s="360" t="n">
        <v>437.96</v>
      </c>
      <c r="J828" s="360"/>
      <c r="K828" s="360"/>
      <c r="L828" s="361" t="s">
        <v>490</v>
      </c>
      <c r="M828" s="362" t="str">
        <f aca="false">YEAR('LT records'!$B828)&amp;"-"&amp;MONTH('LT records'!$B828)</f>
        <v>2021-5</v>
      </c>
      <c r="N828" s="363" t="n">
        <f aca="false">'LT records'!$H828+'LT records'!$I828</f>
        <v>437.96</v>
      </c>
    </row>
    <row r="829" customFormat="false" ht="12.8" hidden="false" customHeight="false" outlineLevel="0" collapsed="false">
      <c r="B829" s="364" t="n">
        <v>44320</v>
      </c>
      <c r="C829" s="355" t="n">
        <f aca="false">YEAR('LT records'!$B829)</f>
        <v>2021</v>
      </c>
      <c r="D829" s="356" t="str">
        <f aca="false">'LT records'!$C829&amp;"-"&amp;MONTH('LT records'!$B829)</f>
        <v>2021-5</v>
      </c>
      <c r="E829" s="357" t="s">
        <v>468</v>
      </c>
      <c r="F829" s="357" t="str">
        <f aca="false">LEFT('LT records'!$E829,3)</f>
        <v>EUR</v>
      </c>
      <c r="G829" s="358" t="str">
        <f aca="false">IF(OR('LT records'!$F829="MyF", 'LT records'!$F829="DEP"),"DEP",IF('LT records'!$F829="CSH","CSH",IF('LT records'!$F829="BON","BND",IF('LT records'!$F829="Sma","MKT",IF(OR('LT records'!$F829="Val", 'LT records'!$F829="EUR"),"FCY",IF('LT records'!$F829="X-P","PP3",IF('LT records'!$F829="X-m","XAU","???")))))))</f>
        <v>FCY</v>
      </c>
      <c r="H829" s="359" t="n">
        <v>0</v>
      </c>
      <c r="I829" s="360"/>
      <c r="J829" s="360" t="n">
        <v>-902.43</v>
      </c>
      <c r="K829" s="360" t="n">
        <v>2.43</v>
      </c>
      <c r="L829" s="361" t="s">
        <v>490</v>
      </c>
      <c r="M829" s="362" t="str">
        <f aca="false">YEAR('LT records'!$B829)&amp;"-"&amp;MONTH('LT records'!$B829)</f>
        <v>2021-5</v>
      </c>
      <c r="N829" s="363" t="n">
        <f aca="false">'LT records'!$H829+'LT records'!$I829</f>
        <v>0</v>
      </c>
    </row>
    <row r="830" customFormat="false" ht="12.8" hidden="false" customHeight="false" outlineLevel="0" collapsed="false">
      <c r="B830" s="364" t="n">
        <v>44320</v>
      </c>
      <c r="C830" s="355" t="n">
        <f aca="false">YEAR('LT records'!$B830)</f>
        <v>2021</v>
      </c>
      <c r="D830" s="356" t="str">
        <f aca="false">'LT records'!$C830&amp;"-"&amp;MONTH('LT records'!$B830)</f>
        <v>2021-5</v>
      </c>
      <c r="E830" s="324" t="s">
        <v>14</v>
      </c>
      <c r="F830" s="357" t="str">
        <f aca="false">LEFT('LT records'!$E830,3)</f>
        <v>CSH</v>
      </c>
      <c r="G830" s="358" t="str">
        <f aca="false">IF(OR('LT records'!$F830="MyF", 'LT records'!$F830="DEP"),"DEP",IF('LT records'!$F830="CSH","CSH",IF('LT records'!$F830="BON","BND",IF('LT records'!$F830="Sma","MKT",IF(OR('LT records'!$F830="Val", 'LT records'!$F830="EUR"),"FCY",IF('LT records'!$F830="X-P","PP3",IF('LT records'!$F830="X-m","XAU","???")))))))</f>
        <v>CSH</v>
      </c>
      <c r="H830" s="359" t="n">
        <f aca="false">2311-90-50-96-80-80-75</f>
        <v>1840</v>
      </c>
      <c r="I830" s="360"/>
      <c r="J830" s="360"/>
      <c r="K830" s="360"/>
      <c r="L830" s="361" t="s">
        <v>462</v>
      </c>
      <c r="M830" s="362" t="str">
        <f aca="false">YEAR('LT records'!$B830)&amp;"-"&amp;MONTH('LT records'!$B830)</f>
        <v>2021-5</v>
      </c>
      <c r="N830" s="363" t="n">
        <f aca="false">'LT records'!$H830+'LT records'!$I830</f>
        <v>1840</v>
      </c>
    </row>
    <row r="831" customFormat="false" ht="12.8" hidden="false" customHeight="false" outlineLevel="0" collapsed="false">
      <c r="B831" s="364" t="n">
        <v>44323</v>
      </c>
      <c r="C831" s="355" t="n">
        <f aca="false">YEAR('LT records'!$B831)</f>
        <v>2021</v>
      </c>
      <c r="D831" s="356" t="str">
        <f aca="false">'LT records'!$C831&amp;"-"&amp;MONTH('LT records'!$B831)</f>
        <v>2021-5</v>
      </c>
      <c r="E831" s="357" t="s">
        <v>311</v>
      </c>
      <c r="F831" s="357" t="str">
        <f aca="false">LEFT('LT records'!$E831,3)</f>
        <v>REN</v>
      </c>
      <c r="G831" s="358" t="str">
        <f aca="false">IF(OR('LT records'!$F831="MyF", 'LT records'!$F831="DEP"),"DEP",IF('LT records'!$F831="CSH","CSH",IF('LT records'!$F831="BON","BND",IF('LT records'!$F831="Sma","MKT",IF(OR('LT records'!$F831="Val", 'LT records'!$F831="EUR"),"FCY",IF('LT records'!$F831="X-P","PP3",IF('LT records'!$F831="X-m","XAU","???")))))))</f>
        <v>???</v>
      </c>
      <c r="H831" s="359" t="n">
        <v>620</v>
      </c>
      <c r="I831" s="360"/>
      <c r="J831" s="360"/>
      <c r="K831" s="360"/>
      <c r="L831" s="361" t="s">
        <v>682</v>
      </c>
      <c r="M831" s="362" t="str">
        <f aca="false">YEAR('LT records'!$B831)&amp;"-"&amp;MONTH('LT records'!$B831)</f>
        <v>2021-5</v>
      </c>
      <c r="N831" s="363" t="n">
        <f aca="false">'LT records'!$H831+'LT records'!$I831</f>
        <v>620</v>
      </c>
    </row>
    <row r="832" customFormat="false" ht="12.8" hidden="false" customHeight="false" outlineLevel="0" collapsed="false">
      <c r="B832" s="364" t="n">
        <v>44340</v>
      </c>
      <c r="C832" s="355" t="n">
        <f aca="false">YEAR('LT records'!$B832)</f>
        <v>2021</v>
      </c>
      <c r="D832" s="356" t="str">
        <f aca="false">'LT records'!$C832&amp;"-"&amp;MONTH('LT records'!$B832)</f>
        <v>2021-5</v>
      </c>
      <c r="E832" s="324" t="s">
        <v>14</v>
      </c>
      <c r="F832" s="357" t="str">
        <f aca="false">LEFT('LT records'!$E832,3)</f>
        <v>CSH</v>
      </c>
      <c r="G832" s="358" t="str">
        <f aca="false">IF(OR('LT records'!$F832="MyF", 'LT records'!$F832="DEP"),"DEP",IF('LT records'!$F832="CSH","CSH",IF('LT records'!$F832="BON","BND",IF('LT records'!$F832="Sma","MKT",IF(OR('LT records'!$F832="Val", 'LT records'!$F832="EUR"),"FCY",IF('LT records'!$F832="X-P","PP3",IF('LT records'!$F832="X-m","XAU","???")))))))</f>
        <v>CSH</v>
      </c>
      <c r="H832" s="359" t="n">
        <f aca="false">-2500+104+50-15</f>
        <v>-2361</v>
      </c>
      <c r="I832" s="360" t="n">
        <v>4.36</v>
      </c>
      <c r="J832" s="360"/>
      <c r="K832" s="360"/>
      <c r="L832" s="341" t="s">
        <v>728</v>
      </c>
      <c r="M832" s="362" t="str">
        <f aca="false">YEAR('LT records'!$B832)&amp;"-"&amp;MONTH('LT records'!$B832)</f>
        <v>2021-5</v>
      </c>
      <c r="N832" s="363" t="n">
        <f aca="false">'LT records'!$H832+'LT records'!$I832</f>
        <v>-2356.64</v>
      </c>
    </row>
    <row r="833" customFormat="false" ht="12.8" hidden="false" customHeight="false" outlineLevel="0" collapsed="false">
      <c r="B833" s="364" t="n">
        <v>44341</v>
      </c>
      <c r="C833" s="355" t="n">
        <f aca="false">YEAR('LT records'!$B833)</f>
        <v>2021</v>
      </c>
      <c r="D833" s="356" t="str">
        <f aca="false">'LT records'!$C833&amp;"-"&amp;MONTH('LT records'!$B833)</f>
        <v>2021-5</v>
      </c>
      <c r="E833" s="324" t="s">
        <v>318</v>
      </c>
      <c r="F833" s="324" t="str">
        <f aca="false">LEFT('LT records'!$E833,3)</f>
        <v>X-P</v>
      </c>
      <c r="G833" s="354" t="str">
        <f aca="false">IF(OR('LT records'!$F833="MyF", 'LT records'!$F833="DEP"),"DEP",IF('LT records'!$F833="CSH","CSH",IF('LT records'!$F833="BON","BND",IF('LT records'!$F833="Sma","MKT",IF(OR('LT records'!$F833="Val", 'LT records'!$F833="EUR"),"FCY",IF('LT records'!$F833="X-P","PP3",IF('LT records'!$F833="X-m","XAU","???")))))))</f>
        <v>PP3</v>
      </c>
      <c r="H833" s="325" t="n">
        <v>200</v>
      </c>
      <c r="I833" s="340"/>
      <c r="J833" s="340"/>
      <c r="K833" s="340"/>
      <c r="L833" s="341" t="s">
        <v>724</v>
      </c>
      <c r="M833" s="350"/>
      <c r="N833" s="354"/>
    </row>
    <row r="834" customFormat="false" ht="12.8" hidden="false" customHeight="false" outlineLevel="0" collapsed="false">
      <c r="B834" s="364" t="n">
        <v>44351</v>
      </c>
      <c r="C834" s="355" t="n">
        <f aca="false">YEAR('LT records'!$B834)</f>
        <v>2021</v>
      </c>
      <c r="D834" s="356" t="str">
        <f aca="false">'LT records'!$C834&amp;"-"&amp;MONTH('LT records'!$B834)</f>
        <v>2021-6</v>
      </c>
      <c r="E834" s="357" t="s">
        <v>300</v>
      </c>
      <c r="F834" s="357" t="str">
        <f aca="false">LEFT('LT records'!$E834,3)</f>
        <v>DEP</v>
      </c>
      <c r="G834" s="358" t="str">
        <f aca="false">IF(OR('LT records'!$F834="MyF", 'LT records'!$F834="DEP"),"DEP",IF('LT records'!$F834="CSH","CSH",IF('LT records'!$F834="BON","BND",IF('LT records'!$F834="Sma","MKT",IF(OR('LT records'!$F834="Val", 'LT records'!$F834="EUR"),"FCY",IF('LT records'!$F834="X-P","PP3",IF('LT records'!$F834="X-m","XAU","???")))))))</f>
        <v>DEP</v>
      </c>
      <c r="H834" s="359" t="n">
        <f aca="false">1500</f>
        <v>1500</v>
      </c>
      <c r="I834" s="360" t="n">
        <f aca="false">368.2-36.82</f>
        <v>331.38</v>
      </c>
      <c r="J834" s="360"/>
      <c r="K834" s="360"/>
      <c r="L834" s="361" t="s">
        <v>729</v>
      </c>
      <c r="M834" s="350"/>
      <c r="N834" s="354"/>
    </row>
    <row r="835" customFormat="false" ht="12.8" hidden="false" customHeight="false" outlineLevel="0" collapsed="false">
      <c r="B835" s="364" t="n">
        <v>44351</v>
      </c>
      <c r="C835" s="355" t="n">
        <f aca="false">YEAR('LT records'!$B835)</f>
        <v>2021</v>
      </c>
      <c r="D835" s="356" t="str">
        <f aca="false">'LT records'!$C835&amp;"-"&amp;MONTH('LT records'!$B835)</f>
        <v>2021-6</v>
      </c>
      <c r="E835" s="357" t="s">
        <v>489</v>
      </c>
      <c r="F835" s="357" t="str">
        <f aca="false">LEFT('LT records'!$E835,3)</f>
        <v>EUR</v>
      </c>
      <c r="G835" s="358" t="str">
        <f aca="false">IF(OR('LT records'!$F835="MyF", 'LT records'!$F835="DEP"),"DEP",IF('LT records'!$F835="CSH","CSH",IF('LT records'!$F835="BON","BND",IF('LT records'!$F835="Sma","MKT",IF(OR('LT records'!$F835="Val", 'LT records'!$F835="EUR"),"FCY",IF('LT records'!$F835="X-P","PP3",IF('LT records'!$F835="X-m","XAU","???")))))))</f>
        <v>FCY</v>
      </c>
      <c r="H835" s="359" t="n">
        <v>0</v>
      </c>
      <c r="I835" s="360"/>
      <c r="J835" s="360" t="n">
        <v>-902.43</v>
      </c>
      <c r="K835" s="360" t="n">
        <v>2.43</v>
      </c>
      <c r="L835" s="361" t="s">
        <v>490</v>
      </c>
      <c r="M835" s="350"/>
      <c r="N835" s="354"/>
    </row>
    <row r="836" customFormat="false" ht="12.8" hidden="false" customHeight="false" outlineLevel="0" collapsed="false">
      <c r="B836" s="364" t="n">
        <v>44351</v>
      </c>
      <c r="C836" s="355" t="n">
        <f aca="false">YEAR('LT records'!$B836)</f>
        <v>2021</v>
      </c>
      <c r="D836" s="356" t="str">
        <f aca="false">'LT records'!$C836&amp;"-"&amp;MONTH('LT records'!$B836)</f>
        <v>2021-6</v>
      </c>
      <c r="E836" s="324" t="s">
        <v>14</v>
      </c>
      <c r="F836" s="357" t="str">
        <f aca="false">LEFT('LT records'!$E836,3)</f>
        <v>CSH</v>
      </c>
      <c r="G836" s="358" t="str">
        <f aca="false">IF(OR('LT records'!$F836="MyF", 'LT records'!$F836="DEP"),"DEP",IF('LT records'!$F836="CSH","CSH",IF('LT records'!$F836="BON","BND",IF('LT records'!$F836="Sma","MKT",IF(OR('LT records'!$F836="Val", 'LT records'!$F836="EUR"),"FCY",IF('LT records'!$F836="X-P","PP3",IF('LT records'!$F836="X-m","XAU","???")))))))</f>
        <v>CSH</v>
      </c>
      <c r="H836" s="359" t="n">
        <f aca="false">203</f>
        <v>203</v>
      </c>
      <c r="I836" s="360"/>
      <c r="J836" s="340"/>
      <c r="K836" s="340"/>
      <c r="L836" s="365" t="s">
        <v>730</v>
      </c>
      <c r="M836" s="350"/>
      <c r="N836" s="354"/>
    </row>
    <row r="837" customFormat="false" ht="12.8" hidden="false" customHeight="false" outlineLevel="0" collapsed="false">
      <c r="B837" s="364" t="n">
        <v>44353</v>
      </c>
      <c r="C837" s="355" t="n">
        <f aca="false">YEAR('LT records'!$B837)</f>
        <v>2021</v>
      </c>
      <c r="D837" s="356" t="str">
        <f aca="false">'LT records'!$C837&amp;"-"&amp;MONTH('LT records'!$B837)</f>
        <v>2021-6</v>
      </c>
      <c r="E837" s="357" t="s">
        <v>311</v>
      </c>
      <c r="F837" s="357"/>
      <c r="G837" s="358"/>
      <c r="H837" s="359" t="n">
        <v>630</v>
      </c>
      <c r="I837" s="360"/>
      <c r="J837" s="340"/>
      <c r="K837" s="340"/>
      <c r="L837" s="365" t="s">
        <v>682</v>
      </c>
      <c r="M837" s="350"/>
      <c r="N837" s="354"/>
    </row>
    <row r="838" customFormat="false" ht="12.8" hidden="false" customHeight="false" outlineLevel="0" collapsed="false">
      <c r="B838" s="364" t="n">
        <v>44362</v>
      </c>
      <c r="C838" s="355" t="n">
        <f aca="false">YEAR('LT records'!$B838)</f>
        <v>2021</v>
      </c>
      <c r="D838" s="356" t="str">
        <f aca="false">'LT records'!$C838&amp;"-"&amp;MONTH('LT records'!$B838)</f>
        <v>2021-6</v>
      </c>
      <c r="E838" s="357" t="s">
        <v>311</v>
      </c>
      <c r="F838" s="357"/>
      <c r="G838" s="358"/>
      <c r="H838" s="359" t="n">
        <v>100</v>
      </c>
      <c r="I838" s="360"/>
      <c r="J838" s="340"/>
      <c r="K838" s="340"/>
      <c r="L838" s="365" t="s">
        <v>682</v>
      </c>
      <c r="M838" s="350"/>
      <c r="N838" s="354"/>
    </row>
    <row r="839" customFormat="false" ht="12.8" hidden="false" customHeight="false" outlineLevel="0" collapsed="false">
      <c r="B839" s="364" t="n">
        <v>44369</v>
      </c>
      <c r="C839" s="355" t="n">
        <f aca="false">YEAR('LT records'!$B839)</f>
        <v>2021</v>
      </c>
      <c r="D839" s="356" t="str">
        <f aca="false">'LT records'!$C839&amp;"-"&amp;MONTH('LT records'!$B839)</f>
        <v>2021-6</v>
      </c>
      <c r="E839" s="324" t="s">
        <v>14</v>
      </c>
      <c r="F839" s="357"/>
      <c r="G839" s="358"/>
      <c r="H839" s="359" t="n">
        <v>-507</v>
      </c>
      <c r="I839" s="360" t="n">
        <v>3.12</v>
      </c>
      <c r="J839" s="340"/>
      <c r="K839" s="340"/>
      <c r="L839" s="365" t="s">
        <v>480</v>
      </c>
      <c r="M839" s="350"/>
      <c r="N839" s="354"/>
    </row>
    <row r="840" customFormat="false" ht="12.8" hidden="false" customHeight="false" outlineLevel="0" collapsed="false">
      <c r="B840" s="364" t="n">
        <v>44374</v>
      </c>
      <c r="C840" s="355" t="n">
        <f aca="false">YEAR('LT records'!$B840)</f>
        <v>2021</v>
      </c>
      <c r="D840" s="356" t="str">
        <f aca="false">'LT records'!$C840&amp;"-"&amp;MONTH('LT records'!$B840)</f>
        <v>2021-6</v>
      </c>
      <c r="E840" s="324" t="s">
        <v>14</v>
      </c>
      <c r="F840" s="357"/>
      <c r="G840" s="358"/>
      <c r="H840" s="359" t="n">
        <v>-65</v>
      </c>
      <c r="I840" s="360"/>
      <c r="J840" s="340"/>
      <c r="K840" s="340"/>
      <c r="L840" s="365" t="s">
        <v>480</v>
      </c>
      <c r="M840" s="350"/>
      <c r="N840" s="354"/>
    </row>
    <row r="841" customFormat="false" ht="12.8" hidden="false" customHeight="false" outlineLevel="0" collapsed="false">
      <c r="B841" s="364" t="n">
        <v>44375</v>
      </c>
      <c r="C841" s="355" t="n">
        <f aca="false">YEAR('LT records'!$B841)</f>
        <v>2021</v>
      </c>
      <c r="D841" s="356" t="str">
        <f aca="false">'LT records'!$C841&amp;"-"&amp;MONTH('LT records'!$B841)</f>
        <v>2021-6</v>
      </c>
      <c r="E841" s="324" t="s">
        <v>14</v>
      </c>
      <c r="F841" s="357"/>
      <c r="G841" s="358"/>
      <c r="H841" s="359" t="n">
        <f aca="false">65-13</f>
        <v>52</v>
      </c>
      <c r="I841" s="360" t="n">
        <f aca="false">0.72+0.12</f>
        <v>0.84</v>
      </c>
      <c r="J841" s="340"/>
      <c r="K841" s="340"/>
      <c r="L841" s="365" t="s">
        <v>462</v>
      </c>
      <c r="M841" s="350"/>
      <c r="N841" s="354"/>
    </row>
    <row r="842" customFormat="false" ht="12.8" hidden="false" customHeight="false" outlineLevel="0" collapsed="false">
      <c r="B842" s="364" t="n">
        <v>44382</v>
      </c>
      <c r="C842" s="355" t="n">
        <f aca="false">YEAR('LT records'!$B842)</f>
        <v>2021</v>
      </c>
      <c r="D842" s="356" t="str">
        <f aca="false">'LT records'!$C842&amp;"-"&amp;MONTH('LT records'!$B842)</f>
        <v>2021-7</v>
      </c>
      <c r="E842" s="357" t="s">
        <v>301</v>
      </c>
      <c r="F842" s="357" t="str">
        <f aca="false">LEFT('LT records'!$E842,3)</f>
        <v>DEP</v>
      </c>
      <c r="G842" s="358" t="str">
        <f aca="false">IF(OR('LT records'!$F842="MyF", 'LT records'!$F842="DEP"),"DEP",IF('LT records'!$F842="CSH","CSH",IF('LT records'!$F842="BON","BND",IF('LT records'!$F842="Sma","MKT",IF(OR('LT records'!$F842="Val", 'LT records'!$F842="EUR"),"FCY",IF('LT records'!$F842="X-P","PP3",IF('LT records'!$F842="X-m","XAU","???")))))))</f>
        <v>DEP</v>
      </c>
      <c r="H842" s="359" t="n">
        <v>1500</v>
      </c>
      <c r="I842" s="360" t="n">
        <v>381.82</v>
      </c>
      <c r="J842" s="360"/>
      <c r="K842" s="360"/>
      <c r="L842" s="361" t="s">
        <v>731</v>
      </c>
      <c r="M842" s="350"/>
      <c r="N842" s="354"/>
    </row>
    <row r="843" customFormat="false" ht="12.8" hidden="false" customHeight="false" outlineLevel="0" collapsed="false">
      <c r="B843" s="364" t="n">
        <v>44382</v>
      </c>
      <c r="C843" s="355" t="n">
        <f aca="false">YEAR('LT records'!$B843)</f>
        <v>2021</v>
      </c>
      <c r="D843" s="356" t="str">
        <f aca="false">'LT records'!$C843&amp;"-"&amp;MONTH('LT records'!$B843)</f>
        <v>2021-7</v>
      </c>
      <c r="E843" s="357" t="s">
        <v>498</v>
      </c>
      <c r="F843" s="357" t="str">
        <f aca="false">LEFT('LT records'!$E843,3)</f>
        <v>EUR</v>
      </c>
      <c r="G843" s="358" t="str">
        <f aca="false">IF(OR('LT records'!$F843="MyF", 'LT records'!$F843="DEP"),"DEP",IF('LT records'!$F843="CSH","CSH",IF('LT records'!$F843="BON","BND",IF('LT records'!$F843="Sma","MKT",IF(OR('LT records'!$F843="Val", 'LT records'!$F843="EUR"),"FCY",IF('LT records'!$F843="X-P","PP3",IF('LT records'!$F843="X-m","XAU","???")))))))</f>
        <v>FCY</v>
      </c>
      <c r="H843" s="359" t="n">
        <v>0</v>
      </c>
      <c r="I843" s="360"/>
      <c r="J843" s="360" t="n">
        <v>-902.44</v>
      </c>
      <c r="K843" s="360" t="n">
        <v>2.44</v>
      </c>
      <c r="L843" s="361" t="s">
        <v>700</v>
      </c>
      <c r="M843" s="350"/>
      <c r="N843" s="354"/>
    </row>
    <row r="844" customFormat="false" ht="12.8" hidden="false" customHeight="false" outlineLevel="0" collapsed="false">
      <c r="B844" s="364" t="n">
        <v>44382</v>
      </c>
      <c r="C844" s="355" t="n">
        <f aca="false">YEAR('LT records'!$B844)</f>
        <v>2021</v>
      </c>
      <c r="D844" s="356" t="str">
        <f aca="false">'LT records'!$C844&amp;"-"&amp;MONTH('LT records'!$B844)</f>
        <v>2021-7</v>
      </c>
      <c r="E844" s="324" t="s">
        <v>14</v>
      </c>
      <c r="F844" s="357" t="str">
        <f aca="false">LEFT('LT records'!$E844,3)</f>
        <v>CSH</v>
      </c>
      <c r="G844" s="358" t="str">
        <f aca="false">IF(OR('LT records'!$F844="MyF", 'LT records'!$F844="DEP"),"DEP",IF('LT records'!$F844="CSH","CSH",IF('LT records'!$F844="BON","BND",IF('LT records'!$F844="Sma","MKT",IF(OR('LT records'!$F844="Val", 'LT records'!$F844="EUR"),"FCY",IF('LT records'!$F844="X-P","PP3",IF('LT records'!$F844="X-m","XAU","???")))))))</f>
        <v>CSH</v>
      </c>
      <c r="H844" s="359" t="n">
        <v>208</v>
      </c>
      <c r="I844" s="360"/>
      <c r="J844" s="340"/>
      <c r="K844" s="340"/>
      <c r="L844" s="365" t="s">
        <v>730</v>
      </c>
      <c r="M844" s="350"/>
      <c r="N844" s="354"/>
    </row>
    <row r="845" customFormat="false" ht="12.8" hidden="false" customHeight="false" outlineLevel="0" collapsed="false">
      <c r="B845" s="364" t="n">
        <v>44382</v>
      </c>
      <c r="C845" s="355" t="n">
        <f aca="false">YEAR('LT records'!$B845)</f>
        <v>2021</v>
      </c>
      <c r="D845" s="356" t="str">
        <f aca="false">'LT records'!$C845&amp;"-"&amp;MONTH('LT records'!$B845)</f>
        <v>2021-7</v>
      </c>
      <c r="E845" s="357" t="s">
        <v>311</v>
      </c>
      <c r="F845" s="357"/>
      <c r="G845" s="358"/>
      <c r="H845" s="359" t="n">
        <v>700</v>
      </c>
      <c r="I845" s="360"/>
      <c r="J845" s="340"/>
      <c r="K845" s="340"/>
      <c r="L845" s="365" t="s">
        <v>682</v>
      </c>
      <c r="M845" s="350"/>
      <c r="N845" s="354"/>
    </row>
    <row r="846" customFormat="false" ht="12.8" hidden="false" customHeight="false" outlineLevel="0" collapsed="false">
      <c r="B846" s="364" t="n">
        <v>44388</v>
      </c>
      <c r="C846" s="355" t="n">
        <f aca="false">YEAR('LT records'!$B846)</f>
        <v>2021</v>
      </c>
      <c r="D846" s="356" t="str">
        <f aca="false">'LT records'!$C846&amp;"-"&amp;MONTH('LT records'!$B846)</f>
        <v>2021-7</v>
      </c>
      <c r="E846" s="324" t="s">
        <v>14</v>
      </c>
      <c r="F846" s="357"/>
      <c r="G846" s="358"/>
      <c r="H846" s="359" t="n">
        <v>-1050</v>
      </c>
      <c r="I846" s="360"/>
      <c r="J846" s="340"/>
      <c r="K846" s="340"/>
      <c r="L846" s="365" t="s">
        <v>480</v>
      </c>
      <c r="M846" s="350"/>
      <c r="N846" s="354"/>
    </row>
    <row r="847" customFormat="false" ht="12.8" hidden="false" customHeight="false" outlineLevel="0" collapsed="false">
      <c r="B847" s="364" t="n">
        <v>37452</v>
      </c>
      <c r="C847" s="355" t="n">
        <f aca="false">YEAR('LT records'!$B847)</f>
        <v>2002</v>
      </c>
      <c r="D847" s="356" t="str">
        <f aca="false">'LT records'!$C847&amp;"-"&amp;MONTH('LT records'!$B847)</f>
        <v>2002-7</v>
      </c>
      <c r="E847" s="357" t="s">
        <v>311</v>
      </c>
      <c r="F847" s="357"/>
      <c r="G847" s="358"/>
      <c r="H847" s="359" t="n">
        <v>700</v>
      </c>
      <c r="I847" s="360"/>
      <c r="J847" s="340"/>
      <c r="K847" s="340"/>
      <c r="L847" s="365" t="s">
        <v>682</v>
      </c>
      <c r="M847" s="350"/>
      <c r="N847" s="354"/>
    </row>
    <row r="848" customFormat="false" ht="12.8" hidden="false" customHeight="false" outlineLevel="0" collapsed="false">
      <c r="B848" s="364" t="n">
        <v>37452</v>
      </c>
      <c r="C848" s="355" t="n">
        <f aca="false">YEAR('LT records'!$B848)</f>
        <v>2002</v>
      </c>
      <c r="D848" s="356" t="str">
        <f aca="false">'LT records'!$C848&amp;"-"&amp;MONTH('LT records'!$B848)</f>
        <v>2002-7</v>
      </c>
      <c r="E848" s="324" t="s">
        <v>14</v>
      </c>
      <c r="F848" s="357"/>
      <c r="G848" s="358"/>
      <c r="H848" s="359" t="n">
        <f aca="false">-1000-100-60-60-60-20</f>
        <v>-1300</v>
      </c>
      <c r="I848" s="360" t="n">
        <v>2.92</v>
      </c>
      <c r="J848" s="340"/>
      <c r="K848" s="340"/>
      <c r="L848" s="365" t="s">
        <v>480</v>
      </c>
      <c r="M848" s="350"/>
      <c r="N848" s="354"/>
    </row>
    <row r="849" customFormat="false" ht="12.8" hidden="false" customHeight="false" outlineLevel="0" collapsed="false">
      <c r="B849" s="364" t="n">
        <v>44402</v>
      </c>
      <c r="C849" s="355" t="n">
        <f aca="false">YEAR('LT records'!$B849)</f>
        <v>2021</v>
      </c>
      <c r="D849" s="356" t="str">
        <f aca="false">'LT records'!$C849&amp;"-"&amp;MONTH('LT records'!$B849)</f>
        <v>2021-7</v>
      </c>
      <c r="E849" s="324" t="s">
        <v>318</v>
      </c>
      <c r="F849" s="324" t="str">
        <f aca="false">LEFT('LT records'!$E849,3)</f>
        <v>X-P</v>
      </c>
      <c r="G849" s="354" t="str">
        <f aca="false">IF(OR('LT records'!$F849="MyF", 'LT records'!$F849="DEP"),"DEP",IF('LT records'!$F849="CSH","CSH",IF('LT records'!$F849="BON","BND",IF('LT records'!$F849="Sma","MKT",IF(OR('LT records'!$F849="Val", 'LT records'!$F849="EUR"),"FCY",IF('LT records'!$F849="X-P","PP3",IF('LT records'!$F849="X-m","XAU","???")))))))</f>
        <v>PP3</v>
      </c>
      <c r="H849" s="325" t="n">
        <v>200</v>
      </c>
      <c r="I849" s="340"/>
      <c r="J849" s="340"/>
      <c r="K849" s="340"/>
      <c r="L849" s="341" t="s">
        <v>724</v>
      </c>
      <c r="M849" s="350"/>
      <c r="N849" s="354"/>
    </row>
    <row r="850" customFormat="false" ht="12.8" hidden="false" customHeight="false" outlineLevel="0" collapsed="false">
      <c r="B850" s="364" t="n">
        <v>44411</v>
      </c>
      <c r="C850" s="355" t="n">
        <f aca="false">YEAR('LT records'!$B850)</f>
        <v>2021</v>
      </c>
      <c r="D850" s="356" t="str">
        <f aca="false">'LT records'!$C850&amp;"-"&amp;MONTH('LT records'!$B850)</f>
        <v>2021-8</v>
      </c>
      <c r="E850" s="357" t="s">
        <v>302</v>
      </c>
      <c r="F850" s="357" t="str">
        <f aca="false">LEFT('LT records'!$E850,3)</f>
        <v>DEP</v>
      </c>
      <c r="G850" s="358" t="str">
        <f aca="false">IF(OR('LT records'!$F850="MyF", 'LT records'!$F850="DEP"),"DEP",IF('LT records'!$F850="CSH","CSH",IF('LT records'!$F850="BON","BND",IF('LT records'!$F850="Sma","MKT",IF(OR('LT records'!$F850="Val", 'LT records'!$F850="EUR"),"FCY",IF('LT records'!$F850="X-P","PP3",IF('LT records'!$F850="X-m","XAU","???")))))))</f>
        <v>DEP</v>
      </c>
      <c r="H850" s="359"/>
      <c r="I850" s="360" t="n">
        <v>377.57</v>
      </c>
      <c r="J850" s="360"/>
      <c r="K850" s="360"/>
      <c r="L850" s="361" t="s">
        <v>729</v>
      </c>
      <c r="M850" s="350"/>
      <c r="N850" s="354"/>
    </row>
    <row r="851" customFormat="false" ht="12.8" hidden="false" customHeight="false" outlineLevel="0" collapsed="false">
      <c r="B851" s="364" t="n">
        <v>44411</v>
      </c>
      <c r="C851" s="355" t="n">
        <f aca="false">YEAR('LT records'!$B851)</f>
        <v>2021</v>
      </c>
      <c r="D851" s="356" t="str">
        <f aca="false">'LT records'!$C851&amp;"-"&amp;MONTH('LT records'!$B851)</f>
        <v>2021-8</v>
      </c>
      <c r="E851" s="357" t="s">
        <v>510</v>
      </c>
      <c r="F851" s="357" t="str">
        <f aca="false">LEFT('LT records'!$E851,3)</f>
        <v>EUR</v>
      </c>
      <c r="G851" s="358" t="str">
        <f aca="false">IF(OR('LT records'!$F851="MyF", 'LT records'!$F851="DEP"),"DEP",IF('LT records'!$F851="CSH","CSH",IF('LT records'!$F851="BON","BND",IF('LT records'!$F851="Sma","MKT",IF(OR('LT records'!$F851="Val", 'LT records'!$F851="EUR"),"FCY",IF('LT records'!$F851="X-P","PP3",IF('LT records'!$F851="X-m","XAU","???")))))))</f>
        <v>FCY</v>
      </c>
      <c r="H851" s="359"/>
      <c r="I851" s="360"/>
      <c r="J851" s="360" t="n">
        <v>-902.43</v>
      </c>
      <c r="K851" s="360" t="n">
        <v>2.43</v>
      </c>
      <c r="L851" s="361" t="s">
        <v>490</v>
      </c>
      <c r="M851" s="350"/>
      <c r="N851" s="354"/>
    </row>
    <row r="852" customFormat="false" ht="12.8" hidden="false" customHeight="false" outlineLevel="0" collapsed="false">
      <c r="B852" s="364" t="n">
        <v>44411</v>
      </c>
      <c r="C852" s="355" t="n">
        <f aca="false">YEAR('LT records'!$B852)</f>
        <v>2021</v>
      </c>
      <c r="D852" s="356" t="str">
        <f aca="false">'LT records'!$C852&amp;"-"&amp;MONTH('LT records'!$B852)</f>
        <v>2021-8</v>
      </c>
      <c r="E852" s="324" t="s">
        <v>14</v>
      </c>
      <c r="F852" s="357" t="str">
        <f aca="false">LEFT('LT records'!$E852,3)</f>
        <v>CSH</v>
      </c>
      <c r="G852" s="358" t="str">
        <f aca="false">IF(OR('LT records'!$F852="MyF", 'LT records'!$F852="DEP"),"DEP",IF('LT records'!$F852="CSH","CSH",IF('LT records'!$F852="BON","BND",IF('LT records'!$F852="Sma","MKT",IF(OR('LT records'!$F852="Val", 'LT records'!$F852="EUR"),"FCY",IF('LT records'!$F852="X-P","PP3",IF('LT records'!$F852="X-m","XAU","???")))))))</f>
        <v>CSH</v>
      </c>
      <c r="H852" s="359" t="n">
        <f aca="false">1909-250-100-30</f>
        <v>1529</v>
      </c>
      <c r="I852" s="360"/>
      <c r="J852" s="340"/>
      <c r="K852" s="340"/>
      <c r="L852" s="365" t="s">
        <v>732</v>
      </c>
      <c r="M852" s="350"/>
      <c r="N852" s="354"/>
    </row>
    <row r="853" customFormat="false" ht="12.8" hidden="false" customHeight="false" outlineLevel="0" collapsed="false">
      <c r="B853" s="364" t="n">
        <v>44424</v>
      </c>
      <c r="C853" s="355" t="n">
        <f aca="false">YEAR('LT records'!$B853)</f>
        <v>2021</v>
      </c>
      <c r="D853" s="356" t="str">
        <f aca="false">'LT records'!$C853&amp;"-"&amp;MONTH('LT records'!$B853)</f>
        <v>2021-8</v>
      </c>
      <c r="E853" s="324" t="s">
        <v>14</v>
      </c>
      <c r="F853" s="357"/>
      <c r="G853" s="358"/>
      <c r="H853" s="359" t="n">
        <f aca="false">-500+2.81-15-505</f>
        <v>-1017.19</v>
      </c>
      <c r="I853" s="360"/>
      <c r="J853" s="340"/>
      <c r="K853" s="340"/>
      <c r="L853" s="365" t="s">
        <v>733</v>
      </c>
      <c r="M853" s="350"/>
      <c r="N853" s="354"/>
    </row>
    <row r="854" customFormat="false" ht="12.8" hidden="false" customHeight="false" outlineLevel="0" collapsed="false">
      <c r="B854" s="364" t="n">
        <v>44494</v>
      </c>
      <c r="C854" s="355" t="n">
        <f aca="false">YEAR('LT records'!$B854)</f>
        <v>2021</v>
      </c>
      <c r="D854" s="356" t="str">
        <f aca="false">'LT records'!$C854&amp;"-"&amp;MONTH('LT records'!$B854)</f>
        <v>2021-10</v>
      </c>
      <c r="E854" s="324" t="s">
        <v>318</v>
      </c>
      <c r="F854" s="357"/>
      <c r="G854" s="358"/>
      <c r="H854" s="359" t="n">
        <v>200</v>
      </c>
      <c r="I854" s="360"/>
      <c r="J854" s="340"/>
      <c r="K854" s="340"/>
      <c r="L854" s="341" t="s">
        <v>734</v>
      </c>
      <c r="M854" s="350"/>
      <c r="N854" s="354"/>
    </row>
    <row r="855" customFormat="false" ht="12.8" hidden="false" customHeight="false" outlineLevel="0" collapsed="false">
      <c r="B855" s="366"/>
      <c r="C855" s="367"/>
      <c r="D855" s="368"/>
      <c r="E855" s="369"/>
      <c r="F855" s="369"/>
      <c r="G855" s="370"/>
      <c r="H855" s="371" t="n">
        <v>0</v>
      </c>
      <c r="I855" s="372"/>
      <c r="J855" s="373"/>
      <c r="K855" s="373"/>
      <c r="L855" s="374" t="s">
        <v>735</v>
      </c>
      <c r="M855" s="350"/>
      <c r="N855" s="354"/>
    </row>
    <row r="856" customFormat="false" ht="12.8" hidden="false" customHeight="false" outlineLevel="0" collapsed="false">
      <c r="B856" s="364" t="n">
        <v>44445</v>
      </c>
      <c r="C856" s="355" t="n">
        <f aca="false">YEAR('LT records'!$B856)</f>
        <v>2021</v>
      </c>
      <c r="D856" s="356" t="str">
        <f aca="false">'LT records'!$C856&amp;"-"&amp;MONTH('LT records'!$B856)</f>
        <v>2021-9</v>
      </c>
      <c r="E856" s="357" t="s">
        <v>304</v>
      </c>
      <c r="F856" s="357" t="str">
        <f aca="false">LEFT('LT records'!$E856,3)</f>
        <v>DEP</v>
      </c>
      <c r="G856" s="358" t="str">
        <f aca="false">IF(OR('LT records'!$F856="MyF", 'LT records'!$F856="DEP"),"DEP",IF('LT records'!$F856="CSH","CSH",IF('LT records'!$F856="BON","BND",IF('LT records'!$F856="Sma","MKT",IF(OR('LT records'!$F856="Val", 'LT records'!$F856="EUR"),"FCY",IF('LT records'!$F856="X-P","PP3",IF('LT records'!$F856="X-m","XAU","???")))))))</f>
        <v>DEP</v>
      </c>
      <c r="H856" s="359"/>
      <c r="I856" s="360" t="n">
        <v>379.73</v>
      </c>
      <c r="J856" s="360"/>
      <c r="K856" s="360"/>
      <c r="L856" s="361" t="s">
        <v>729</v>
      </c>
      <c r="M856" s="350"/>
      <c r="N856" s="354"/>
    </row>
    <row r="857" customFormat="false" ht="12.8" hidden="false" customHeight="false" outlineLevel="0" collapsed="false">
      <c r="B857" s="364" t="n">
        <v>44445</v>
      </c>
      <c r="C857" s="355" t="n">
        <f aca="false">YEAR('LT records'!$B857)</f>
        <v>2021</v>
      </c>
      <c r="D857" s="356" t="str">
        <f aca="false">'LT records'!$C857&amp;"-"&amp;MONTH('LT records'!$B857)</f>
        <v>2021-9</v>
      </c>
      <c r="E857" s="357" t="s">
        <v>517</v>
      </c>
      <c r="F857" s="357" t="str">
        <f aca="false">LEFT('LT records'!$E857,3)</f>
        <v>EUR</v>
      </c>
      <c r="G857" s="358" t="str">
        <f aca="false">IF(OR('LT records'!$F857="MyF", 'LT records'!$F857="DEP"),"DEP",IF('LT records'!$F857="CSH","CSH",IF('LT records'!$F857="BON","BND",IF('LT records'!$F857="Sma","MKT",IF(OR('LT records'!$F857="Val", 'LT records'!$F857="EUR"),"FCY",IF('LT records'!$F857="X-P","PP3",IF('LT records'!$F857="X-m","XAU","???")))))))</f>
        <v>FCY</v>
      </c>
      <c r="H857" s="359"/>
      <c r="I857" s="360"/>
      <c r="J857" s="360" t="n">
        <v>-902.44</v>
      </c>
      <c r="K857" s="360" t="n">
        <v>2.44</v>
      </c>
      <c r="L857" s="361" t="s">
        <v>473</v>
      </c>
      <c r="M857" s="350"/>
      <c r="N857" s="354"/>
    </row>
    <row r="858" customFormat="false" ht="12.8" hidden="false" customHeight="false" outlineLevel="0" collapsed="false">
      <c r="B858" s="364" t="n">
        <v>44445</v>
      </c>
      <c r="C858" s="355" t="n">
        <f aca="false">YEAR('LT records'!$B858)</f>
        <v>2021</v>
      </c>
      <c r="D858" s="356" t="str">
        <f aca="false">'LT records'!$C858&amp;"-"&amp;MONTH('LT records'!$B858)</f>
        <v>2021-9</v>
      </c>
      <c r="E858" s="324" t="s">
        <v>14</v>
      </c>
      <c r="F858" s="357"/>
      <c r="G858" s="358"/>
      <c r="H858" s="359" t="n">
        <f aca="false">-3203+4425</f>
        <v>1222</v>
      </c>
      <c r="I858" s="360" t="n">
        <f aca="false">1.17+2.42</f>
        <v>3.59</v>
      </c>
      <c r="J858" s="340"/>
      <c r="K858" s="340"/>
      <c r="L858" s="365" t="s">
        <v>733</v>
      </c>
      <c r="M858" s="350"/>
      <c r="N858" s="354"/>
    </row>
    <row r="859" customFormat="false" ht="12.8" hidden="false" customHeight="false" outlineLevel="0" collapsed="false">
      <c r="B859" s="366"/>
      <c r="C859" s="367"/>
      <c r="D859" s="368"/>
      <c r="E859" s="369"/>
      <c r="F859" s="369"/>
      <c r="G859" s="370"/>
      <c r="H859" s="371" t="n">
        <v>0</v>
      </c>
      <c r="I859" s="372"/>
      <c r="J859" s="373"/>
      <c r="K859" s="373"/>
      <c r="L859" s="374" t="s">
        <v>736</v>
      </c>
      <c r="M859" s="350"/>
      <c r="N859" s="354"/>
    </row>
    <row r="860" customFormat="false" ht="12.8" hidden="false" customHeight="false" outlineLevel="0" collapsed="false">
      <c r="B860" s="364" t="n">
        <v>44494</v>
      </c>
      <c r="C860" s="355" t="n">
        <f aca="false">YEAR('LT records'!$B860)</f>
        <v>2021</v>
      </c>
      <c r="D860" s="356" t="str">
        <f aca="false">'LT records'!$C860&amp;"-"&amp;MONTH('LT records'!$B860)</f>
        <v>2021-10</v>
      </c>
      <c r="E860" s="324" t="s">
        <v>318</v>
      </c>
      <c r="F860" s="357"/>
      <c r="G860" s="358"/>
      <c r="H860" s="359" t="n">
        <v>150</v>
      </c>
      <c r="I860" s="360"/>
      <c r="J860" s="340"/>
      <c r="K860" s="340"/>
      <c r="L860" s="341" t="s">
        <v>734</v>
      </c>
      <c r="M860" s="350"/>
      <c r="N860" s="354"/>
    </row>
    <row r="861" customFormat="false" ht="12.8" hidden="false" customHeight="false" outlineLevel="0" collapsed="false">
      <c r="B861" s="364" t="n">
        <v>44473</v>
      </c>
      <c r="C861" s="355" t="n">
        <f aca="false">YEAR('LT records'!$B861)</f>
        <v>2021</v>
      </c>
      <c r="D861" s="356" t="str">
        <f aca="false">'LT records'!$C861&amp;"-"&amp;MONTH('LT records'!$B861)</f>
        <v>2021-10</v>
      </c>
      <c r="E861" s="357" t="s">
        <v>311</v>
      </c>
      <c r="F861" s="357"/>
      <c r="G861" s="358"/>
      <c r="H861" s="359" t="n">
        <v>760</v>
      </c>
      <c r="I861" s="360"/>
      <c r="J861" s="340"/>
      <c r="K861" s="340"/>
      <c r="L861" s="365" t="s">
        <v>682</v>
      </c>
      <c r="M861" s="350"/>
      <c r="N861" s="354"/>
    </row>
    <row r="862" customFormat="false" ht="12.8" hidden="false" customHeight="false" outlineLevel="0" collapsed="false">
      <c r="B862" s="364" t="n">
        <v>44470</v>
      </c>
      <c r="C862" s="355" t="n">
        <f aca="false">YEAR('LT records'!$B862)</f>
        <v>2021</v>
      </c>
      <c r="D862" s="356" t="str">
        <f aca="false">'LT records'!$C862&amp;"-"&amp;MONTH('LT records'!$B862)</f>
        <v>2021-10</v>
      </c>
      <c r="E862" s="357" t="s">
        <v>14</v>
      </c>
      <c r="F862" s="357"/>
      <c r="G862" s="358"/>
      <c r="H862" s="359" t="n">
        <f aca="false">-20-3003+4420</f>
        <v>1397</v>
      </c>
      <c r="I862" s="360"/>
      <c r="J862" s="340"/>
      <c r="K862" s="340"/>
      <c r="L862" s="365" t="s">
        <v>737</v>
      </c>
      <c r="M862" s="350"/>
      <c r="N862" s="354"/>
    </row>
    <row r="863" customFormat="false" ht="12.8" hidden="false" customHeight="false" outlineLevel="0" collapsed="false">
      <c r="B863" s="364" t="n">
        <v>44473</v>
      </c>
      <c r="C863" s="355" t="n">
        <f aca="false">YEAR('LT records'!$B863)</f>
        <v>2021</v>
      </c>
      <c r="D863" s="356" t="str">
        <f aca="false">'LT records'!$C863&amp;"-"&amp;MONTH('LT records'!$B863)</f>
        <v>2021-10</v>
      </c>
      <c r="E863" s="357" t="s">
        <v>305</v>
      </c>
      <c r="F863" s="357"/>
      <c r="G863" s="358"/>
      <c r="H863" s="359" t="n">
        <v>0</v>
      </c>
      <c r="I863" s="359" t="n">
        <v>379.81</v>
      </c>
      <c r="J863" s="359"/>
      <c r="K863" s="359"/>
      <c r="L863" s="361" t="s">
        <v>729</v>
      </c>
      <c r="M863" s="350"/>
      <c r="N863" s="354"/>
    </row>
    <row r="864" customFormat="false" ht="12.8" hidden="false" customHeight="false" outlineLevel="0" collapsed="false">
      <c r="B864" s="364" t="n">
        <v>44473</v>
      </c>
      <c r="C864" s="355" t="n">
        <f aca="false">YEAR('LT records'!$B864)</f>
        <v>2021</v>
      </c>
      <c r="D864" s="356" t="str">
        <f aca="false">'LT records'!$C864&amp;"-"&amp;MONTH('LT records'!$B864)</f>
        <v>2021-10</v>
      </c>
      <c r="E864" s="357" t="s">
        <v>523</v>
      </c>
      <c r="F864" s="357"/>
      <c r="G864" s="358"/>
      <c r="H864" s="359" t="n">
        <v>0</v>
      </c>
      <c r="I864" s="359"/>
      <c r="J864" s="359" t="n">
        <v>-902.44</v>
      </c>
      <c r="K864" s="359" t="n">
        <v>2.44</v>
      </c>
      <c r="L864" s="375" t="s">
        <v>473</v>
      </c>
      <c r="M864" s="350"/>
      <c r="N864" s="354"/>
      <c r="Q864" s="360"/>
      <c r="R864" s="360"/>
      <c r="S864" s="360"/>
    </row>
    <row r="865" customFormat="false" ht="12.8" hidden="false" customHeight="false" outlineLevel="0" collapsed="false">
      <c r="B865" s="364" t="n">
        <v>44474</v>
      </c>
      <c r="C865" s="355" t="n">
        <f aca="false">YEAR('LT records'!$B865)</f>
        <v>2021</v>
      </c>
      <c r="D865" s="356" t="str">
        <f aca="false">'LT records'!$C865&amp;"-"&amp;MONTH('LT records'!$B865)</f>
        <v>2021-10</v>
      </c>
      <c r="E865" s="357" t="s">
        <v>14</v>
      </c>
      <c r="F865" s="357"/>
      <c r="G865" s="358"/>
      <c r="H865" s="359" t="n">
        <f aca="false">0</f>
        <v>0</v>
      </c>
      <c r="I865" s="360"/>
      <c r="J865" s="340"/>
      <c r="K865" s="340"/>
      <c r="L865" s="365" t="s">
        <v>738</v>
      </c>
      <c r="M865" s="350"/>
      <c r="N865" s="354"/>
      <c r="Q865" s="360"/>
      <c r="R865" s="360"/>
      <c r="S865" s="360"/>
    </row>
    <row r="866" customFormat="false" ht="12.8" hidden="false" customHeight="false" outlineLevel="0" collapsed="false">
      <c r="B866" s="364" t="n">
        <v>44484</v>
      </c>
      <c r="C866" s="355" t="n">
        <f aca="false">YEAR('LT records'!$B866)</f>
        <v>2021</v>
      </c>
      <c r="D866" s="356" t="str">
        <f aca="false">'LT records'!$C866&amp;"-"&amp;MONTH('LT records'!$B866)</f>
        <v>2021-10</v>
      </c>
      <c r="E866" s="357" t="s">
        <v>311</v>
      </c>
      <c r="F866" s="357"/>
      <c r="G866" s="358"/>
      <c r="H866" s="359" t="n">
        <v>760</v>
      </c>
      <c r="I866" s="360"/>
      <c r="J866" s="340"/>
      <c r="K866" s="340"/>
      <c r="L866" s="365" t="s">
        <v>682</v>
      </c>
      <c r="M866" s="350"/>
      <c r="N866" s="354"/>
      <c r="Q866" s="360"/>
      <c r="R866" s="360"/>
      <c r="S866" s="360"/>
    </row>
    <row r="867" customFormat="false" ht="12.8" hidden="false" customHeight="false" outlineLevel="0" collapsed="false">
      <c r="B867" s="364" t="n">
        <v>44488</v>
      </c>
      <c r="C867" s="355" t="n">
        <f aca="false">YEAR('LT records'!$B867)</f>
        <v>2021</v>
      </c>
      <c r="D867" s="356" t="str">
        <f aca="false">'LT records'!$C867&amp;"-"&amp;MONTH('LT records'!$B867)</f>
        <v>2021-10</v>
      </c>
      <c r="E867" s="357" t="s">
        <v>14</v>
      </c>
      <c r="F867" s="357"/>
      <c r="G867" s="358"/>
      <c r="H867" s="359" t="n">
        <f aca="false">-50</f>
        <v>-50</v>
      </c>
      <c r="I867" s="360" t="n">
        <f aca="false">3.24</f>
        <v>3.24</v>
      </c>
      <c r="J867" s="340"/>
      <c r="K867" s="340"/>
      <c r="L867" s="365" t="s">
        <v>739</v>
      </c>
      <c r="M867" s="350"/>
      <c r="N867" s="354"/>
      <c r="Q867" s="360"/>
      <c r="R867" s="360"/>
      <c r="S867" s="360"/>
    </row>
    <row r="868" customFormat="false" ht="12.8" hidden="false" customHeight="false" outlineLevel="0" collapsed="false">
      <c r="B868" s="364" t="n">
        <v>44494</v>
      </c>
      <c r="C868" s="355" t="n">
        <f aca="false">YEAR('LT records'!$B868)</f>
        <v>2021</v>
      </c>
      <c r="D868" s="356" t="str">
        <f aca="false">'LT records'!$C868&amp;"-"&amp;MONTH('LT records'!$B868)</f>
        <v>2021-10</v>
      </c>
      <c r="E868" s="324" t="s">
        <v>318</v>
      </c>
      <c r="F868" s="357"/>
      <c r="G868" s="358"/>
      <c r="H868" s="359" t="n">
        <f aca="false">150</f>
        <v>150</v>
      </c>
      <c r="I868" s="360"/>
      <c r="J868" s="340"/>
      <c r="K868" s="340"/>
      <c r="L868" s="341" t="s">
        <v>734</v>
      </c>
      <c r="M868" s="350"/>
      <c r="N868" s="354"/>
      <c r="Q868" s="360"/>
      <c r="R868" s="360"/>
      <c r="S868" s="360"/>
    </row>
    <row r="869" customFormat="false" ht="12.8" hidden="false" customHeight="false" outlineLevel="0" collapsed="false">
      <c r="B869" s="364" t="n">
        <v>44525</v>
      </c>
      <c r="C869" s="355" t="n">
        <f aca="false">YEAR('LT records'!$B869)</f>
        <v>2021</v>
      </c>
      <c r="D869" s="356" t="str">
        <f aca="false">'LT records'!$C869&amp;"-"&amp;MONTH('LT records'!$B869)</f>
        <v>2021-11</v>
      </c>
      <c r="E869" s="324" t="s">
        <v>318</v>
      </c>
      <c r="F869" s="357"/>
      <c r="G869" s="358"/>
      <c r="H869" s="359" t="n">
        <f aca="false">150+200</f>
        <v>350</v>
      </c>
      <c r="I869" s="360"/>
      <c r="J869" s="340"/>
      <c r="K869" s="340"/>
      <c r="L869" s="341" t="s">
        <v>740</v>
      </c>
      <c r="M869" s="350"/>
      <c r="N869" s="354"/>
      <c r="Q869" s="360"/>
      <c r="R869" s="360"/>
      <c r="S869" s="360"/>
    </row>
    <row r="870" customFormat="false" ht="12.8" hidden="false" customHeight="false" outlineLevel="0" collapsed="false">
      <c r="B870" s="366"/>
      <c r="C870" s="367"/>
      <c r="D870" s="368"/>
      <c r="E870" s="369"/>
      <c r="F870" s="369"/>
      <c r="G870" s="370"/>
      <c r="H870" s="371" t="n">
        <v>0</v>
      </c>
      <c r="I870" s="372"/>
      <c r="J870" s="373"/>
      <c r="K870" s="373"/>
      <c r="L870" s="374" t="s">
        <v>741</v>
      </c>
      <c r="M870" s="350"/>
      <c r="N870" s="354"/>
      <c r="Q870" s="360"/>
      <c r="R870" s="360"/>
      <c r="S870" s="360"/>
    </row>
    <row r="871" customFormat="false" ht="12.8" hidden="false" customHeight="false" outlineLevel="0" collapsed="false">
      <c r="B871" s="364" t="n">
        <v>44502</v>
      </c>
      <c r="C871" s="355" t="n">
        <f aca="false">YEAR('LT records'!$B871)</f>
        <v>2021</v>
      </c>
      <c r="D871" s="356" t="str">
        <f aca="false">'LT records'!$C871&amp;"-"&amp;MONTH('LT records'!$B871)</f>
        <v>2021-11</v>
      </c>
      <c r="E871" s="357" t="s">
        <v>533</v>
      </c>
      <c r="F871" s="357" t="str">
        <f aca="false">LEFT('LT records'!$E871,3)</f>
        <v>EUR</v>
      </c>
      <c r="G871" s="358" t="str">
        <f aca="false">IF(OR('LT records'!$F871="MyF", 'LT records'!$F871="DEP"),"DEP",IF('LT records'!$F871="CSH","CSH",IF('LT records'!$F871="BON","BND",IF('LT records'!$F871="Sma","MKT",IF(OR('LT records'!$F871="Val", 'LT records'!$F871="EUR"),"FCY",IF('LT records'!$F871="X-P","PP3",IF('LT records'!$F871="X-m","XAU","???")))))))</f>
        <v>FCY</v>
      </c>
      <c r="H871" s="359"/>
      <c r="I871" s="359"/>
      <c r="J871" s="359" t="n">
        <v>-815.85</v>
      </c>
      <c r="K871" s="359" t="n">
        <v>2.2</v>
      </c>
      <c r="L871" s="341" t="s">
        <v>742</v>
      </c>
      <c r="M871" s="350"/>
      <c r="N871" s="354"/>
      <c r="Q871" s="360"/>
      <c r="R871" s="360"/>
      <c r="S871" s="360"/>
    </row>
    <row r="872" customFormat="false" ht="12.8" hidden="false" customHeight="false" outlineLevel="0" collapsed="false">
      <c r="B872" s="364" t="n">
        <v>44503</v>
      </c>
      <c r="C872" s="355" t="n">
        <f aca="false">YEAR('LT records'!$B872)</f>
        <v>2021</v>
      </c>
      <c r="D872" s="356" t="str">
        <f aca="false">'LT records'!$C872&amp;"-"&amp;MONTH('LT records'!$B872)</f>
        <v>2021-11</v>
      </c>
      <c r="E872" s="357" t="s">
        <v>307</v>
      </c>
      <c r="F872" s="357" t="str">
        <f aca="false">LEFT('LT records'!$E872,3)</f>
        <v>DEP</v>
      </c>
      <c r="G872" s="358" t="str">
        <f aca="false">IF(OR('LT records'!$F872="MyF", 'LT records'!$F872="DEP"),"DEP",IF('LT records'!$F872="CSH","CSH",IF('LT records'!$F872="BON","BND",IF('LT records'!$F872="Sma","MKT",IF(OR('LT records'!$F872="Val", 'LT records'!$F872="EUR"),"FCY",IF('LT records'!$F872="X-P","PP3",IF('LT records'!$F872="X-m","XAU","???")))))))</f>
        <v>DEP</v>
      </c>
      <c r="H872" s="359" t="n">
        <v>5000</v>
      </c>
      <c r="I872" s="359" t="n">
        <v>252.13</v>
      </c>
      <c r="J872" s="359"/>
      <c r="K872" s="359"/>
      <c r="L872" s="361" t="s">
        <v>729</v>
      </c>
      <c r="M872" s="350"/>
      <c r="N872" s="354"/>
      <c r="Q872" s="360"/>
      <c r="R872" s="360"/>
      <c r="S872" s="360"/>
    </row>
    <row r="873" customFormat="false" ht="12.8" hidden="false" customHeight="false" outlineLevel="0" collapsed="false">
      <c r="B873" s="364" t="n">
        <v>44501</v>
      </c>
      <c r="C873" s="355" t="n">
        <f aca="false">YEAR('LT records'!$B873)</f>
        <v>2021</v>
      </c>
      <c r="D873" s="356" t="str">
        <f aca="false">'LT records'!$C873&amp;"-"&amp;MONTH('LT records'!$B873)</f>
        <v>2021-11</v>
      </c>
      <c r="E873" s="357" t="s">
        <v>14</v>
      </c>
      <c r="F873" s="357"/>
      <c r="G873" s="358"/>
      <c r="H873" s="359" t="n">
        <f aca="false">-40-2003+4006-5000-50-100-35</f>
        <v>-3222</v>
      </c>
      <c r="I873" s="360" t="n">
        <f aca="false">1.01+0.96+1.12</f>
        <v>3.09</v>
      </c>
      <c r="J873" s="340"/>
      <c r="K873" s="340"/>
      <c r="L873" s="361" t="s">
        <v>743</v>
      </c>
      <c r="M873" s="350"/>
      <c r="N873" s="354"/>
      <c r="Q873" s="360"/>
      <c r="R873" s="360"/>
      <c r="S873" s="360"/>
    </row>
    <row r="874" customFormat="false" ht="12.8" hidden="false" customHeight="false" outlineLevel="0" collapsed="false">
      <c r="B874" s="364" t="n">
        <v>44515</v>
      </c>
      <c r="C874" s="355" t="n">
        <f aca="false">YEAR('LT records'!$B874)</f>
        <v>2021</v>
      </c>
      <c r="D874" s="356" t="str">
        <f aca="false">'LT records'!$C874&amp;"-"&amp;MONTH('LT records'!$B874)</f>
        <v>2021-11</v>
      </c>
      <c r="E874" s="357" t="s">
        <v>311</v>
      </c>
      <c r="F874" s="357"/>
      <c r="G874" s="358"/>
      <c r="H874" s="359" t="n">
        <v>750</v>
      </c>
      <c r="I874" s="360"/>
      <c r="J874" s="340"/>
      <c r="K874" s="340"/>
      <c r="L874" s="365" t="s">
        <v>682</v>
      </c>
      <c r="M874" s="350"/>
      <c r="N874" s="354"/>
      <c r="Q874" s="360"/>
      <c r="R874" s="360"/>
      <c r="S874" s="360"/>
    </row>
    <row r="875" customFormat="false" ht="12.8" hidden="false" customHeight="false" outlineLevel="0" collapsed="false">
      <c r="B875" s="364" t="n">
        <v>44530</v>
      </c>
      <c r="C875" s="355" t="n">
        <f aca="false">YEAR('LT records'!$B875)</f>
        <v>2021</v>
      </c>
      <c r="D875" s="356" t="str">
        <f aca="false">'LT records'!$C875&amp;"-"&amp;MONTH('LT records'!$B875)</f>
        <v>2021-11</v>
      </c>
      <c r="E875" s="357" t="s">
        <v>311</v>
      </c>
      <c r="F875" s="357"/>
      <c r="G875" s="358"/>
      <c r="H875" s="359" t="n">
        <v>3893.03</v>
      </c>
      <c r="I875" s="360"/>
      <c r="J875" s="340"/>
      <c r="K875" s="340"/>
      <c r="L875" s="365" t="s">
        <v>744</v>
      </c>
      <c r="M875" s="350"/>
      <c r="N875" s="354"/>
      <c r="Q875" s="360"/>
      <c r="R875" s="360"/>
      <c r="S875" s="360"/>
    </row>
    <row r="876" customFormat="false" ht="12.8" hidden="false" customHeight="false" outlineLevel="0" collapsed="false">
      <c r="B876" s="366"/>
      <c r="C876" s="367"/>
      <c r="D876" s="368"/>
      <c r="E876" s="369"/>
      <c r="F876" s="369"/>
      <c r="G876" s="370"/>
      <c r="H876" s="371" t="n">
        <v>0</v>
      </c>
      <c r="I876" s="372"/>
      <c r="J876" s="373"/>
      <c r="K876" s="373"/>
      <c r="L876" s="374" t="s">
        <v>745</v>
      </c>
      <c r="M876" s="350"/>
      <c r="N876" s="354"/>
      <c r="Q876" s="360"/>
      <c r="R876" s="360"/>
      <c r="S876" s="360"/>
    </row>
    <row r="877" customFormat="false" ht="12.8" hidden="false" customHeight="false" outlineLevel="0" collapsed="false">
      <c r="B877" s="364" t="n">
        <v>44536</v>
      </c>
      <c r="C877" s="355" t="n">
        <f aca="false">YEAR('LT records'!$B877)</f>
        <v>2021</v>
      </c>
      <c r="D877" s="356" t="str">
        <f aca="false">'LT records'!$C877&amp;"-"&amp;MONTH('LT records'!$B877)</f>
        <v>2021-12</v>
      </c>
      <c r="E877" s="357" t="s">
        <v>308</v>
      </c>
      <c r="F877" s="357"/>
      <c r="G877" s="358"/>
      <c r="H877" s="359" t="n">
        <v>0</v>
      </c>
      <c r="I877" s="360" t="n">
        <v>393.34</v>
      </c>
      <c r="J877" s="359"/>
      <c r="K877" s="359"/>
      <c r="L877" s="361" t="s">
        <v>729</v>
      </c>
      <c r="M877" s="350"/>
      <c r="N877" s="354"/>
      <c r="Q877" s="360"/>
      <c r="R877" s="360"/>
      <c r="S877" s="360"/>
    </row>
    <row r="878" customFormat="false" ht="12.8" hidden="false" customHeight="false" outlineLevel="0" collapsed="false">
      <c r="B878" s="364" t="n">
        <v>44536</v>
      </c>
      <c r="C878" s="355" t="n">
        <f aca="false">YEAR('LT records'!$B878)</f>
        <v>2021</v>
      </c>
      <c r="D878" s="356" t="str">
        <f aca="false">'LT records'!$C878&amp;"-"&amp;MONTH('LT records'!$B878)</f>
        <v>2021-12</v>
      </c>
      <c r="E878" s="357" t="s">
        <v>536</v>
      </c>
      <c r="F878" s="357"/>
      <c r="G878" s="358"/>
      <c r="H878" s="359" t="n">
        <v>0</v>
      </c>
      <c r="I878" s="359"/>
      <c r="J878" s="359" t="n">
        <v>-815.12</v>
      </c>
      <c r="K878" s="359" t="n">
        <v>2.2</v>
      </c>
      <c r="L878" s="375" t="s">
        <v>473</v>
      </c>
      <c r="M878" s="350"/>
      <c r="N878" s="354"/>
      <c r="Q878" s="360"/>
      <c r="R878" s="360"/>
      <c r="S878" s="360"/>
    </row>
    <row r="879" customFormat="false" ht="12.8" hidden="false" customHeight="false" outlineLevel="0" collapsed="false">
      <c r="B879" s="364" t="n">
        <v>44531</v>
      </c>
      <c r="C879" s="355" t="n">
        <f aca="false">YEAR('LT records'!$B879)</f>
        <v>2021</v>
      </c>
      <c r="D879" s="356" t="str">
        <f aca="false">'LT records'!$C879&amp;"-"&amp;MONTH('LT records'!$B879)</f>
        <v>2021-12</v>
      </c>
      <c r="E879" s="357" t="s">
        <v>14</v>
      </c>
      <c r="F879" s="357"/>
      <c r="G879" s="358"/>
      <c r="H879" s="359" t="n">
        <f aca="false">-2003-10+4002-100-2000</f>
        <v>-111</v>
      </c>
      <c r="I879" s="360" t="n">
        <f aca="false">1.01+0.96+1.12-2.57+0.04</f>
        <v>0.56</v>
      </c>
      <c r="J879" s="340"/>
      <c r="K879" s="340"/>
      <c r="L879" s="375" t="s">
        <v>746</v>
      </c>
      <c r="M879" s="350"/>
      <c r="N879" s="354"/>
      <c r="Q879" s="360"/>
      <c r="R879" s="360"/>
      <c r="S879" s="360"/>
    </row>
    <row r="880" customFormat="false" ht="12.8" hidden="false" customHeight="false" outlineLevel="0" collapsed="false">
      <c r="B880" s="364" t="n">
        <v>44545</v>
      </c>
      <c r="C880" s="355" t="n">
        <f aca="false">YEAR('LT records'!$B880)</f>
        <v>2021</v>
      </c>
      <c r="D880" s="356" t="str">
        <f aca="false">'LT records'!$C880&amp;"-"&amp;MONTH('LT records'!$B880)</f>
        <v>2021-12</v>
      </c>
      <c r="E880" s="357" t="s">
        <v>311</v>
      </c>
      <c r="F880" s="357"/>
      <c r="G880" s="358"/>
      <c r="H880" s="359" t="n">
        <v>750</v>
      </c>
      <c r="I880" s="360"/>
      <c r="J880" s="340"/>
      <c r="K880" s="340"/>
      <c r="L880" s="341" t="s">
        <v>682</v>
      </c>
      <c r="M880" s="350"/>
      <c r="N880" s="354"/>
      <c r="Q880" s="360"/>
      <c r="R880" s="360"/>
      <c r="S880" s="360"/>
    </row>
    <row r="881" customFormat="false" ht="12.8" hidden="false" customHeight="false" outlineLevel="0" collapsed="false">
      <c r="B881" s="364" t="n">
        <v>44555</v>
      </c>
      <c r="C881" s="355" t="n">
        <f aca="false">YEAR('LT records'!$B881)</f>
        <v>2021</v>
      </c>
      <c r="D881" s="356" t="str">
        <f aca="false">'LT records'!$C881&amp;"-"&amp;MONTH('LT records'!$B881)</f>
        <v>2021-12</v>
      </c>
      <c r="E881" s="324" t="s">
        <v>318</v>
      </c>
      <c r="F881" s="357"/>
      <c r="G881" s="358"/>
      <c r="H881" s="359" t="n">
        <f aca="false">150</f>
        <v>150</v>
      </c>
      <c r="I881" s="360"/>
      <c r="J881" s="340"/>
      <c r="K881" s="340"/>
      <c r="L881" s="341" t="s">
        <v>734</v>
      </c>
      <c r="M881" s="350"/>
      <c r="N881" s="354"/>
      <c r="Q881" s="360"/>
      <c r="R881" s="360"/>
      <c r="S881" s="360"/>
    </row>
    <row r="882" customFormat="false" ht="12.8" hidden="false" customHeight="false" outlineLevel="0" collapsed="false">
      <c r="B882" s="366"/>
      <c r="C882" s="367"/>
      <c r="D882" s="368"/>
      <c r="E882" s="369"/>
      <c r="F882" s="369"/>
      <c r="G882" s="370"/>
      <c r="H882" s="371" t="n">
        <v>0</v>
      </c>
      <c r="I882" s="372"/>
      <c r="J882" s="373"/>
      <c r="K882" s="373"/>
      <c r="L882" s="374" t="s">
        <v>747</v>
      </c>
      <c r="M882" s="350"/>
      <c r="N882" s="354"/>
      <c r="Q882" s="360"/>
      <c r="R882" s="360"/>
      <c r="S882" s="360"/>
    </row>
    <row r="883" customFormat="false" ht="12.8" hidden="false" customHeight="false" outlineLevel="0" collapsed="false">
      <c r="B883" s="364" t="n">
        <v>44565</v>
      </c>
      <c r="C883" s="355" t="n">
        <f aca="false">YEAR('LT records'!$B883)</f>
        <v>2022</v>
      </c>
      <c r="D883" s="356" t="str">
        <f aca="false">'LT records'!$C883&amp;"-"&amp;MONTH('LT records'!$B883)</f>
        <v>2022-1</v>
      </c>
      <c r="E883" s="357" t="s">
        <v>549</v>
      </c>
      <c r="F883" s="357"/>
      <c r="G883" s="358"/>
      <c r="H883" s="359" t="n">
        <v>0</v>
      </c>
      <c r="I883" s="360"/>
      <c r="J883" s="340" t="n">
        <v>-852.3</v>
      </c>
      <c r="K883" s="359" t="n">
        <v>2.29</v>
      </c>
      <c r="L883" s="341" t="s">
        <v>748</v>
      </c>
      <c r="M883" s="350"/>
      <c r="N883" s="354"/>
      <c r="Q883" s="360"/>
      <c r="R883" s="360"/>
      <c r="S883" s="360"/>
    </row>
    <row r="884" customFormat="false" ht="12.8" hidden="false" customHeight="false" outlineLevel="0" collapsed="false">
      <c r="B884" s="364" t="n">
        <v>44565</v>
      </c>
      <c r="C884" s="355" t="n">
        <f aca="false">YEAR('LT records'!$B884)</f>
        <v>2022</v>
      </c>
      <c r="D884" s="356" t="str">
        <f aca="false">'LT records'!$C884&amp;"-"&amp;MONTH('LT records'!$B884)</f>
        <v>2022-1</v>
      </c>
      <c r="E884" s="357" t="s">
        <v>291</v>
      </c>
      <c r="F884" s="357"/>
      <c r="G884" s="358"/>
      <c r="H884" s="359" t="n">
        <v>0</v>
      </c>
      <c r="I884" s="359" t="n">
        <v>380.02</v>
      </c>
      <c r="J884" s="340"/>
      <c r="K884" s="340"/>
      <c r="L884" s="361" t="s">
        <v>729</v>
      </c>
      <c r="M884" s="350"/>
      <c r="N884" s="354"/>
      <c r="Q884" s="360"/>
      <c r="R884" s="360"/>
      <c r="S884" s="360"/>
    </row>
    <row r="885" customFormat="false" ht="12.8" hidden="false" customHeight="false" outlineLevel="0" collapsed="false">
      <c r="B885" s="364" t="n">
        <v>44562</v>
      </c>
      <c r="C885" s="355" t="n">
        <f aca="false">YEAR('LT records'!$B885)</f>
        <v>2022</v>
      </c>
      <c r="D885" s="356" t="str">
        <f aca="false">'LT records'!$C885&amp;"-"&amp;MONTH('LT records'!$B885)</f>
        <v>2022-1</v>
      </c>
      <c r="E885" s="357" t="s">
        <v>14</v>
      </c>
      <c r="F885" s="357"/>
      <c r="G885" s="358"/>
      <c r="H885" s="359" t="n">
        <f aca="false">1500+2180-100+50+500</f>
        <v>4130</v>
      </c>
      <c r="I885" s="359" t="n">
        <f aca="false">2.42+0.64</f>
        <v>3.06</v>
      </c>
      <c r="J885" s="340"/>
      <c r="K885" s="340"/>
      <c r="L885" s="361" t="s">
        <v>749</v>
      </c>
      <c r="M885" s="350"/>
      <c r="N885" s="354"/>
      <c r="Q885" s="360"/>
      <c r="R885" s="360"/>
      <c r="S885" s="360"/>
    </row>
    <row r="886" customFormat="false" ht="12.8" hidden="false" customHeight="false" outlineLevel="0" collapsed="false">
      <c r="B886" s="364" t="n">
        <v>44577</v>
      </c>
      <c r="C886" s="355" t="n">
        <f aca="false">YEAR('LT records'!$B886)</f>
        <v>2022</v>
      </c>
      <c r="D886" s="356" t="str">
        <f aca="false">'LT records'!$C886&amp;"-"&amp;MONTH('LT records'!$B886)</f>
        <v>2022-1</v>
      </c>
      <c r="E886" s="357" t="s">
        <v>311</v>
      </c>
      <c r="F886" s="357"/>
      <c r="G886" s="358"/>
      <c r="H886" s="359" t="n">
        <f aca="false">745+44</f>
        <v>789</v>
      </c>
      <c r="I886" s="360"/>
      <c r="J886" s="340"/>
      <c r="K886" s="340"/>
      <c r="L886" s="365" t="s">
        <v>682</v>
      </c>
      <c r="M886" s="350"/>
      <c r="N886" s="354"/>
      <c r="Q886" s="360"/>
      <c r="R886" s="360"/>
      <c r="S886" s="360"/>
    </row>
    <row r="887" customFormat="false" ht="12.8" hidden="false" customHeight="false" outlineLevel="0" collapsed="false">
      <c r="B887" s="364" t="n">
        <v>44586</v>
      </c>
      <c r="C887" s="355" t="n">
        <f aca="false">YEAR('LT records'!$B887)</f>
        <v>2022</v>
      </c>
      <c r="D887" s="356" t="str">
        <f aca="false">'LT records'!$C887&amp;"-"&amp;MONTH('LT records'!$B887)</f>
        <v>2022-1</v>
      </c>
      <c r="E887" s="324" t="s">
        <v>318</v>
      </c>
      <c r="F887" s="357"/>
      <c r="G887" s="358"/>
      <c r="H887" s="359"/>
      <c r="I887" s="360"/>
      <c r="J887" s="340"/>
      <c r="K887" s="340"/>
      <c r="L887" s="341" t="s">
        <v>750</v>
      </c>
      <c r="M887" s="350"/>
      <c r="N887" s="354"/>
      <c r="Q887" s="360"/>
      <c r="R887" s="360"/>
      <c r="S887" s="360"/>
    </row>
    <row r="888" customFormat="false" ht="12.8" hidden="false" customHeight="false" outlineLevel="0" collapsed="false">
      <c r="B888" s="366"/>
      <c r="C888" s="367"/>
      <c r="D888" s="368"/>
      <c r="E888" s="369"/>
      <c r="F888" s="369"/>
      <c r="G888" s="370"/>
      <c r="H888" s="371" t="n">
        <v>0</v>
      </c>
      <c r="I888" s="372"/>
      <c r="J888" s="373"/>
      <c r="K888" s="373"/>
      <c r="L888" s="374" t="s">
        <v>751</v>
      </c>
      <c r="M888" s="350"/>
      <c r="N888" s="354"/>
      <c r="Q888" s="360"/>
      <c r="R888" s="360"/>
      <c r="S888" s="360"/>
    </row>
    <row r="889" customFormat="false" ht="12.8" hidden="false" customHeight="false" outlineLevel="0" collapsed="false">
      <c r="B889" s="364" t="n">
        <v>44595</v>
      </c>
      <c r="C889" s="355" t="n">
        <f aca="false">YEAR('LT records'!$B889)</f>
        <v>2022</v>
      </c>
      <c r="D889" s="356" t="str">
        <f aca="false">'LT records'!$C889&amp;"-"&amp;MONTH('LT records'!$B889)</f>
        <v>2022-2</v>
      </c>
      <c r="E889" s="357" t="s">
        <v>294</v>
      </c>
      <c r="F889" s="357"/>
      <c r="G889" s="358"/>
      <c r="H889" s="359" t="n">
        <v>0</v>
      </c>
      <c r="I889" s="360" t="n">
        <v>388.21</v>
      </c>
      <c r="J889" s="359"/>
      <c r="K889" s="359"/>
      <c r="L889" s="361" t="s">
        <v>729</v>
      </c>
      <c r="M889" s="350"/>
      <c r="N889" s="354"/>
      <c r="Q889" s="360"/>
      <c r="R889" s="360"/>
      <c r="S889" s="360"/>
    </row>
    <row r="890" customFormat="false" ht="12.8" hidden="false" customHeight="false" outlineLevel="0" collapsed="false">
      <c r="B890" s="364" t="n">
        <v>44595</v>
      </c>
      <c r="C890" s="355" t="n">
        <f aca="false">YEAR('LT records'!$B890)</f>
        <v>2022</v>
      </c>
      <c r="D890" s="356" t="str">
        <f aca="false">'LT records'!$C890&amp;"-"&amp;MONTH('LT records'!$B890)</f>
        <v>2022-2</v>
      </c>
      <c r="E890" s="357" t="s">
        <v>555</v>
      </c>
      <c r="F890" s="357"/>
      <c r="G890" s="358"/>
      <c r="H890" s="359" t="n">
        <v>0</v>
      </c>
      <c r="I890" s="359"/>
      <c r="J890" s="359" t="n">
        <v>-840.27</v>
      </c>
      <c r="K890" s="359" t="n">
        <v>2.26</v>
      </c>
      <c r="L890" s="375" t="s">
        <v>473</v>
      </c>
      <c r="M890" s="350"/>
      <c r="N890" s="354"/>
      <c r="Q890" s="360"/>
      <c r="R890" s="360"/>
      <c r="S890" s="360"/>
    </row>
    <row r="891" customFormat="false" ht="12.8" hidden="false" customHeight="false" outlineLevel="0" collapsed="false">
      <c r="B891" s="364" t="n">
        <v>44593</v>
      </c>
      <c r="C891" s="355" t="n">
        <f aca="false">YEAR('LT records'!$B891)</f>
        <v>2022</v>
      </c>
      <c r="D891" s="356" t="str">
        <f aca="false">'LT records'!$C891&amp;"-"&amp;MONTH('LT records'!$B891)</f>
        <v>2022-2</v>
      </c>
      <c r="E891" s="357" t="s">
        <v>14</v>
      </c>
      <c r="F891" s="357"/>
      <c r="G891" s="358"/>
      <c r="H891" s="359" t="n">
        <f aca="false">-2002+4126-600+329+327+50</f>
        <v>2230</v>
      </c>
      <c r="I891" s="360" t="n">
        <f aca="false">3.68+4.05</f>
        <v>7.73</v>
      </c>
      <c r="J891" s="340"/>
      <c r="K891" s="340"/>
      <c r="L891" s="375" t="s">
        <v>752</v>
      </c>
      <c r="M891" s="350"/>
      <c r="N891" s="354"/>
      <c r="Q891" s="360"/>
      <c r="R891" s="360"/>
      <c r="S891" s="360"/>
    </row>
    <row r="892" customFormat="false" ht="12.8" hidden="false" customHeight="false" outlineLevel="0" collapsed="false">
      <c r="B892" s="364" t="n">
        <v>44608</v>
      </c>
      <c r="C892" s="355" t="n">
        <f aca="false">YEAR('LT records'!$B892)</f>
        <v>2022</v>
      </c>
      <c r="D892" s="356" t="str">
        <f aca="false">'LT records'!$C892&amp;"-"&amp;MONTH('LT records'!$B892)</f>
        <v>2022-2</v>
      </c>
      <c r="E892" s="357" t="s">
        <v>311</v>
      </c>
      <c r="F892" s="357"/>
      <c r="G892" s="358"/>
      <c r="H892" s="359" t="n">
        <f aca="false">329+760+4</f>
        <v>1093</v>
      </c>
      <c r="I892" s="360"/>
      <c r="J892" s="340"/>
      <c r="K892" s="340"/>
      <c r="L892" s="365" t="s">
        <v>682</v>
      </c>
      <c r="M892" s="350"/>
      <c r="N892" s="354"/>
      <c r="Q892" s="360"/>
      <c r="R892" s="360"/>
      <c r="S892" s="360"/>
    </row>
    <row r="893" customFormat="false" ht="12.8" hidden="false" customHeight="false" outlineLevel="0" collapsed="false">
      <c r="B893" s="364" t="n">
        <v>44617</v>
      </c>
      <c r="C893" s="355" t="n">
        <f aca="false">YEAR('LT records'!$B893)</f>
        <v>2022</v>
      </c>
      <c r="D893" s="356" t="str">
        <f aca="false">'LT records'!$C893&amp;"-"&amp;MONTH('LT records'!$B893)</f>
        <v>2022-2</v>
      </c>
      <c r="E893" s="324" t="s">
        <v>318</v>
      </c>
      <c r="F893" s="357"/>
      <c r="G893" s="358"/>
      <c r="H893" s="359" t="n">
        <f aca="false">150</f>
        <v>150</v>
      </c>
      <c r="I893" s="360"/>
      <c r="J893" s="340"/>
      <c r="K893" s="340"/>
      <c r="L893" s="341" t="s">
        <v>750</v>
      </c>
      <c r="M893" s="350"/>
      <c r="N893" s="354"/>
      <c r="Q893" s="360"/>
      <c r="R893" s="360"/>
      <c r="S893" s="360"/>
    </row>
    <row r="894" customFormat="false" ht="12.8" hidden="false" customHeight="false" outlineLevel="0" collapsed="false">
      <c r="B894" s="366"/>
      <c r="C894" s="367"/>
      <c r="D894" s="368"/>
      <c r="E894" s="369"/>
      <c r="F894" s="369"/>
      <c r="G894" s="370"/>
      <c r="H894" s="371" t="n">
        <v>0</v>
      </c>
      <c r="I894" s="372"/>
      <c r="J894" s="373"/>
      <c r="K894" s="373"/>
      <c r="L894" s="374" t="s">
        <v>753</v>
      </c>
      <c r="M894" s="350"/>
      <c r="N894" s="354"/>
      <c r="Q894" s="360"/>
      <c r="R894" s="360"/>
      <c r="S894" s="360"/>
    </row>
    <row r="895" customFormat="false" ht="12.8" hidden="false" customHeight="false" outlineLevel="0" collapsed="false">
      <c r="B895" s="364" t="n">
        <v>44623</v>
      </c>
      <c r="C895" s="355" t="n">
        <f aca="false">YEAR('LT records'!$B895)</f>
        <v>2022</v>
      </c>
      <c r="D895" s="356" t="str">
        <f aca="false">'LT records'!$C895&amp;"-"&amp;MONTH('LT records'!$B895)</f>
        <v>2022-3</v>
      </c>
      <c r="E895" s="357" t="s">
        <v>296</v>
      </c>
      <c r="F895" s="357"/>
      <c r="G895" s="358"/>
      <c r="H895" s="359" t="n">
        <v>0</v>
      </c>
      <c r="I895" s="360" t="n">
        <v>355.38</v>
      </c>
      <c r="J895" s="359"/>
      <c r="K895" s="359"/>
      <c r="L895" s="361" t="s">
        <v>729</v>
      </c>
      <c r="M895" s="350"/>
      <c r="N895" s="354"/>
      <c r="Q895" s="360"/>
      <c r="R895" s="360"/>
      <c r="S895" s="360"/>
    </row>
    <row r="896" customFormat="false" ht="12.8" hidden="false" customHeight="false" outlineLevel="0" collapsed="false">
      <c r="B896" s="364" t="n">
        <v>44623</v>
      </c>
      <c r="C896" s="355" t="n">
        <f aca="false">YEAR('LT records'!$B896)</f>
        <v>2022</v>
      </c>
      <c r="D896" s="356" t="str">
        <f aca="false">'LT records'!$C896&amp;"-"&amp;MONTH('LT records'!$B896)</f>
        <v>2022-3</v>
      </c>
      <c r="E896" s="357" t="s">
        <v>564</v>
      </c>
      <c r="F896" s="357"/>
      <c r="G896" s="358"/>
      <c r="H896" s="359"/>
      <c r="I896" s="360"/>
      <c r="J896" s="359"/>
      <c r="K896" s="359"/>
      <c r="L896" s="376" t="s">
        <v>754</v>
      </c>
      <c r="M896" s="350"/>
      <c r="N896" s="354"/>
      <c r="Q896" s="360"/>
      <c r="R896" s="360"/>
      <c r="S896" s="360"/>
    </row>
    <row r="897" customFormat="false" ht="12.8" hidden="false" customHeight="false" outlineLevel="0" collapsed="false">
      <c r="B897" s="364" t="n">
        <v>44621</v>
      </c>
      <c r="C897" s="355" t="n">
        <f aca="false">YEAR('LT records'!$B897)</f>
        <v>2022</v>
      </c>
      <c r="D897" s="356" t="str">
        <f aca="false">'LT records'!$C897&amp;"-"&amp;MONTH('LT records'!$B897)</f>
        <v>2022-3</v>
      </c>
      <c r="E897" s="357" t="s">
        <v>14</v>
      </c>
      <c r="F897" s="357"/>
      <c r="G897" s="358"/>
      <c r="H897" s="359" t="n">
        <f aca="false">-2003-90-83-236-120+235-319-80-774+16-80+50+100</f>
        <v>-3384</v>
      </c>
      <c r="I897" s="360" t="n">
        <f aca="false">3.52+0.65</f>
        <v>4.17</v>
      </c>
      <c r="J897" s="340"/>
      <c r="K897" s="340"/>
      <c r="L897" s="365" t="s">
        <v>755</v>
      </c>
      <c r="M897" s="350"/>
      <c r="N897" s="354"/>
      <c r="Q897" s="360"/>
      <c r="R897" s="360"/>
      <c r="S897" s="360"/>
    </row>
    <row r="898" customFormat="false" ht="12.8" hidden="false" customHeight="false" outlineLevel="0" collapsed="false">
      <c r="B898" s="364" t="n">
        <v>44636</v>
      </c>
      <c r="C898" s="355" t="n">
        <f aca="false">YEAR('LT records'!$B898)</f>
        <v>2022</v>
      </c>
      <c r="D898" s="356" t="str">
        <f aca="false">'LT records'!$C898&amp;"-"&amp;MONTH('LT records'!$B898)</f>
        <v>2022-3</v>
      </c>
      <c r="E898" s="357" t="s">
        <v>311</v>
      </c>
      <c r="F898" s="357"/>
      <c r="G898" s="358"/>
      <c r="H898" s="359" t="n">
        <f aca="false">3+55+715</f>
        <v>773</v>
      </c>
      <c r="I898" s="360"/>
      <c r="J898" s="340"/>
      <c r="K898" s="340"/>
      <c r="L898" s="365" t="s">
        <v>682</v>
      </c>
      <c r="M898" s="350"/>
      <c r="N898" s="354"/>
      <c r="Q898" s="360"/>
      <c r="R898" s="360"/>
      <c r="S898" s="360"/>
    </row>
    <row r="899" customFormat="false" ht="12.8" hidden="false" customHeight="false" outlineLevel="0" collapsed="false">
      <c r="B899" s="364" t="n">
        <v>44645</v>
      </c>
      <c r="C899" s="355" t="n">
        <f aca="false">YEAR('LT records'!$B899)</f>
        <v>2022</v>
      </c>
      <c r="D899" s="356" t="str">
        <f aca="false">'LT records'!$C899&amp;"-"&amp;MONTH('LT records'!$B899)</f>
        <v>2022-3</v>
      </c>
      <c r="E899" s="324" t="s">
        <v>318</v>
      </c>
      <c r="F899" s="357"/>
      <c r="G899" s="358"/>
      <c r="H899" s="359" t="n">
        <v>150</v>
      </c>
      <c r="I899" s="360"/>
      <c r="J899" s="340"/>
      <c r="K899" s="340"/>
      <c r="L899" s="341" t="s">
        <v>750</v>
      </c>
      <c r="M899" s="350"/>
      <c r="N899" s="354"/>
      <c r="Q899" s="360"/>
      <c r="R899" s="360"/>
      <c r="S899" s="360"/>
    </row>
    <row r="900" customFormat="false" ht="12.8" hidden="false" customHeight="false" outlineLevel="0" collapsed="false">
      <c r="B900" s="366"/>
      <c r="C900" s="367"/>
      <c r="D900" s="368"/>
      <c r="E900" s="369"/>
      <c r="F900" s="369"/>
      <c r="G900" s="370"/>
      <c r="H900" s="371" t="n">
        <v>0</v>
      </c>
      <c r="I900" s="372"/>
      <c r="J900" s="373"/>
      <c r="K900" s="373"/>
      <c r="L900" s="374" t="s">
        <v>756</v>
      </c>
      <c r="M900" s="350"/>
      <c r="N900" s="354"/>
      <c r="Q900" s="360"/>
      <c r="R900" s="360"/>
      <c r="S900" s="360"/>
    </row>
    <row r="901" customFormat="false" ht="12.8" hidden="false" customHeight="false" outlineLevel="0" collapsed="false">
      <c r="B901" s="364" t="n">
        <v>44655</v>
      </c>
      <c r="C901" s="355" t="n">
        <f aca="false">YEAR('LT records'!$B901)</f>
        <v>2022</v>
      </c>
      <c r="D901" s="356" t="str">
        <f aca="false">'LT records'!$C901&amp;"-"&amp;MONTH('LT records'!$B901)</f>
        <v>2022-4</v>
      </c>
      <c r="E901" s="357" t="s">
        <v>297</v>
      </c>
      <c r="F901" s="357"/>
      <c r="G901" s="358"/>
      <c r="H901" s="359" t="n">
        <v>0</v>
      </c>
      <c r="I901" s="360" t="n">
        <v>356.24</v>
      </c>
      <c r="J901" s="340"/>
      <c r="K901" s="340"/>
      <c r="L901" s="365" t="s">
        <v>729</v>
      </c>
      <c r="M901" s="350"/>
      <c r="N901" s="354"/>
      <c r="Q901" s="360"/>
      <c r="R901" s="360"/>
      <c r="S901" s="360"/>
    </row>
    <row r="902" customFormat="false" ht="12.8" hidden="false" customHeight="false" outlineLevel="0" collapsed="false">
      <c r="B902" s="364" t="n">
        <v>44655</v>
      </c>
      <c r="C902" s="355" t="n">
        <f aca="false">YEAR('LT records'!$B902)</f>
        <v>2022</v>
      </c>
      <c r="D902" s="356" t="str">
        <f aca="false">'LT records'!$C902&amp;"-"&amp;MONTH('LT records'!$B902)</f>
        <v>2022-4</v>
      </c>
      <c r="E902" s="357" t="s">
        <v>453</v>
      </c>
      <c r="F902" s="357"/>
      <c r="G902" s="358"/>
      <c r="H902" s="359" t="n">
        <v>0</v>
      </c>
      <c r="I902" s="360"/>
      <c r="J902" s="340" t="n">
        <v>-638.4</v>
      </c>
      <c r="K902" s="340" t="n">
        <v>1.15</v>
      </c>
      <c r="L902" s="365" t="s">
        <v>757</v>
      </c>
      <c r="M902" s="350"/>
      <c r="N902" s="354"/>
      <c r="Q902" s="360"/>
      <c r="R902" s="360"/>
      <c r="S902" s="360"/>
    </row>
    <row r="903" customFormat="false" ht="12.8" hidden="false" customHeight="false" outlineLevel="0" collapsed="false">
      <c r="B903" s="364" t="n">
        <v>44655</v>
      </c>
      <c r="C903" s="355" t="n">
        <f aca="false">YEAR('LT records'!$B903)</f>
        <v>2022</v>
      </c>
      <c r="D903" s="356" t="str">
        <f aca="false">'LT records'!$C903&amp;"-"&amp;MONTH('LT records'!$B903)</f>
        <v>2022-4</v>
      </c>
      <c r="E903" s="357" t="s">
        <v>444</v>
      </c>
      <c r="F903" s="357"/>
      <c r="G903" s="358"/>
      <c r="H903" s="359"/>
      <c r="I903" s="360"/>
      <c r="J903" s="340"/>
      <c r="K903" s="340"/>
      <c r="L903" s="365" t="s">
        <v>758</v>
      </c>
      <c r="M903" s="350"/>
      <c r="N903" s="354"/>
      <c r="Q903" s="360"/>
      <c r="R903" s="360"/>
      <c r="S903" s="360"/>
    </row>
    <row r="904" customFormat="false" ht="12.8" hidden="false" customHeight="false" outlineLevel="0" collapsed="false">
      <c r="B904" s="364" t="n">
        <v>44652</v>
      </c>
      <c r="C904" s="355" t="n">
        <f aca="false">YEAR('LT records'!$B904)</f>
        <v>2022</v>
      </c>
      <c r="D904" s="356" t="str">
        <f aca="false">'LT records'!$C904&amp;"-"&amp;MONTH('LT records'!$B904)</f>
        <v>2022-4</v>
      </c>
      <c r="E904" s="357" t="s">
        <v>14</v>
      </c>
      <c r="F904" s="357"/>
      <c r="G904" s="358"/>
      <c r="H904" s="359" t="n">
        <f aca="false">-2000+3165-64-20+354+50+500</f>
        <v>1985</v>
      </c>
      <c r="I904" s="360" t="n">
        <f aca="false">1.08+1.96+1.2</f>
        <v>4.24</v>
      </c>
      <c r="J904" s="340"/>
      <c r="K904" s="340"/>
      <c r="L904" s="365" t="s">
        <v>759</v>
      </c>
      <c r="M904" s="350"/>
      <c r="N904" s="354"/>
      <c r="Q904" s="360"/>
      <c r="R904" s="360"/>
      <c r="S904" s="360"/>
    </row>
    <row r="905" customFormat="false" ht="12.8" hidden="false" customHeight="false" outlineLevel="0" collapsed="false">
      <c r="B905" s="364" t="n">
        <v>44674</v>
      </c>
      <c r="C905" s="355" t="n">
        <f aca="false">YEAR('LT records'!$B905)</f>
        <v>2022</v>
      </c>
      <c r="D905" s="356" t="str">
        <f aca="false">'LT records'!$C905&amp;"-"&amp;MONTH('LT records'!$B905)</f>
        <v>2022-4</v>
      </c>
      <c r="E905" s="357" t="s">
        <v>311</v>
      </c>
      <c r="F905" s="357"/>
      <c r="G905" s="358"/>
      <c r="H905" s="359" t="n">
        <f aca="false">40</f>
        <v>40</v>
      </c>
      <c r="I905" s="360"/>
      <c r="J905" s="340"/>
      <c r="K905" s="340"/>
      <c r="L905" s="365"/>
      <c r="M905" s="350"/>
      <c r="N905" s="354"/>
      <c r="Q905" s="360"/>
      <c r="R905" s="360"/>
      <c r="S905" s="360"/>
    </row>
    <row r="906" customFormat="false" ht="12.8" hidden="false" customHeight="false" outlineLevel="0" collapsed="false">
      <c r="B906" s="364" t="n">
        <v>44676</v>
      </c>
      <c r="C906" s="355" t="n">
        <f aca="false">YEAR('LT records'!$B906)</f>
        <v>2022</v>
      </c>
      <c r="D906" s="356" t="str">
        <f aca="false">'LT records'!$C906&amp;"-"&amp;MONTH('LT records'!$B906)</f>
        <v>2022-4</v>
      </c>
      <c r="E906" s="324" t="s">
        <v>318</v>
      </c>
      <c r="F906" s="357"/>
      <c r="G906" s="358"/>
      <c r="H906" s="359" t="n">
        <v>150</v>
      </c>
      <c r="I906" s="360"/>
      <c r="J906" s="340"/>
      <c r="K906" s="340"/>
      <c r="L906" s="341" t="s">
        <v>750</v>
      </c>
      <c r="M906" s="350"/>
      <c r="N906" s="354"/>
      <c r="Q906" s="360"/>
      <c r="R906" s="360"/>
      <c r="S906" s="360"/>
    </row>
    <row r="907" customFormat="false" ht="12.8" hidden="false" customHeight="false" outlineLevel="0" collapsed="false">
      <c r="B907" s="366"/>
      <c r="C907" s="367"/>
      <c r="D907" s="368"/>
      <c r="E907" s="369"/>
      <c r="F907" s="369"/>
      <c r="G907" s="370"/>
      <c r="H907" s="371" t="n">
        <v>0</v>
      </c>
      <c r="I907" s="372"/>
      <c r="J907" s="373"/>
      <c r="K907" s="373"/>
      <c r="L907" s="374" t="s">
        <v>760</v>
      </c>
      <c r="M907" s="350"/>
      <c r="N907" s="354"/>
      <c r="Q907" s="360"/>
      <c r="R907" s="360"/>
      <c r="S907" s="360"/>
    </row>
    <row r="908" customFormat="false" ht="12.8" hidden="false" customHeight="false" outlineLevel="0" collapsed="false">
      <c r="B908" s="364" t="n">
        <v>44685</v>
      </c>
      <c r="C908" s="355" t="n">
        <f aca="false">YEAR('LT records'!$B908)</f>
        <v>2022</v>
      </c>
      <c r="D908" s="356" t="str">
        <f aca="false">'LT records'!$C908&amp;"-"&amp;MONTH('LT records'!$B908)</f>
        <v>2022-5</v>
      </c>
      <c r="E908" s="357" t="s">
        <v>298</v>
      </c>
      <c r="F908" s="357"/>
      <c r="G908" s="358"/>
      <c r="H908" s="359" t="n">
        <v>0</v>
      </c>
      <c r="I908" s="360" t="n">
        <f aca="false">354.3</f>
        <v>354.3</v>
      </c>
      <c r="J908" s="340"/>
      <c r="K908" s="340"/>
      <c r="L908" s="365" t="s">
        <v>40</v>
      </c>
      <c r="M908" s="350"/>
      <c r="N908" s="354"/>
      <c r="Q908" s="360"/>
      <c r="R908" s="360"/>
      <c r="S908" s="360"/>
    </row>
    <row r="909" customFormat="false" ht="12.8" hidden="false" customHeight="false" outlineLevel="0" collapsed="false">
      <c r="B909" s="364" t="n">
        <v>44682</v>
      </c>
      <c r="C909" s="355" t="n">
        <f aca="false">YEAR('LT records'!$B909)</f>
        <v>2022</v>
      </c>
      <c r="D909" s="356" t="str">
        <f aca="false">'LT records'!$C909&amp;"-"&amp;MONTH('LT records'!$B909)</f>
        <v>2022-5</v>
      </c>
      <c r="E909" s="357" t="s">
        <v>14</v>
      </c>
      <c r="F909" s="357"/>
      <c r="G909" s="358"/>
      <c r="H909" s="359" t="n">
        <f aca="false">-2003+500+760+50</f>
        <v>-693</v>
      </c>
      <c r="I909" s="360" t="n">
        <f aca="false">0.8+2.89</f>
        <v>3.69</v>
      </c>
      <c r="J909" s="340"/>
      <c r="K909" s="340"/>
      <c r="L909" s="365" t="s">
        <v>761</v>
      </c>
      <c r="M909" s="350"/>
      <c r="N909" s="354"/>
      <c r="Q909" s="360"/>
      <c r="R909" s="360"/>
      <c r="S909" s="360"/>
    </row>
    <row r="910" customFormat="false" ht="12.8" hidden="false" customHeight="false" outlineLevel="0" collapsed="false">
      <c r="B910" s="364" t="n">
        <v>44698</v>
      </c>
      <c r="C910" s="355" t="n">
        <f aca="false">YEAR('LT records'!$B910)</f>
        <v>2022</v>
      </c>
      <c r="D910" s="356" t="str">
        <f aca="false">'LT records'!$C910&amp;"-"&amp;MONTH('LT records'!$B910)</f>
        <v>2022-5</v>
      </c>
      <c r="E910" s="357" t="s">
        <v>311</v>
      </c>
      <c r="F910" s="357"/>
      <c r="G910" s="358"/>
      <c r="H910" s="359" t="n">
        <v>541</v>
      </c>
      <c r="I910" s="360"/>
      <c r="J910" s="340"/>
      <c r="K910" s="340"/>
      <c r="L910" s="365" t="s">
        <v>682</v>
      </c>
      <c r="M910" s="350"/>
      <c r="N910" s="354"/>
      <c r="Q910" s="360"/>
      <c r="R910" s="360"/>
      <c r="S910" s="360"/>
    </row>
    <row r="911" customFormat="false" ht="12.8" hidden="false" customHeight="false" outlineLevel="0" collapsed="false">
      <c r="B911" s="364" t="n">
        <v>44706</v>
      </c>
      <c r="C911" s="355" t="n">
        <f aca="false">YEAR('LT records'!$B911)</f>
        <v>2022</v>
      </c>
      <c r="D911" s="356" t="str">
        <f aca="false">'LT records'!$C911&amp;"-"&amp;MONTH('LT records'!$B911)</f>
        <v>2022-5</v>
      </c>
      <c r="E911" s="324" t="s">
        <v>318</v>
      </c>
      <c r="F911" s="357"/>
      <c r="G911" s="358"/>
      <c r="H911" s="359" t="n">
        <v>150</v>
      </c>
      <c r="I911" s="360"/>
      <c r="J911" s="340"/>
      <c r="K911" s="340"/>
      <c r="L911" s="341" t="s">
        <v>750</v>
      </c>
      <c r="M911" s="350"/>
      <c r="N911" s="354"/>
      <c r="Q911" s="360"/>
      <c r="R911" s="360"/>
      <c r="S911" s="360"/>
    </row>
    <row r="912" customFormat="false" ht="12.8" hidden="false" customHeight="false" outlineLevel="0" collapsed="false">
      <c r="B912" s="366"/>
      <c r="C912" s="367"/>
      <c r="D912" s="368"/>
      <c r="E912" s="369"/>
      <c r="F912" s="369"/>
      <c r="G912" s="370"/>
      <c r="H912" s="371" t="n">
        <v>0</v>
      </c>
      <c r="I912" s="372"/>
      <c r="J912" s="373"/>
      <c r="K912" s="373"/>
      <c r="L912" s="374" t="s">
        <v>762</v>
      </c>
      <c r="M912" s="350"/>
      <c r="N912" s="354"/>
      <c r="Q912" s="360"/>
      <c r="R912" s="360"/>
      <c r="S912" s="360"/>
    </row>
    <row r="913" customFormat="false" ht="12.8" hidden="false" customHeight="false" outlineLevel="0" collapsed="false">
      <c r="B913" s="364" t="n">
        <v>44718</v>
      </c>
      <c r="C913" s="355" t="n">
        <f aca="false">YEAR('LT records'!$B913)</f>
        <v>2022</v>
      </c>
      <c r="D913" s="356" t="str">
        <f aca="false">'LT records'!$C913&amp;"-"&amp;MONTH('LT records'!$B913)</f>
        <v>2022-6</v>
      </c>
      <c r="E913" s="357" t="s">
        <v>300</v>
      </c>
      <c r="F913" s="357"/>
      <c r="G913" s="358"/>
      <c r="H913" s="359" t="n">
        <v>2000</v>
      </c>
      <c r="I913" s="360" t="n">
        <v>304.1</v>
      </c>
      <c r="J913" s="340"/>
      <c r="K913" s="340"/>
      <c r="L913" s="365" t="s">
        <v>40</v>
      </c>
      <c r="M913" s="350"/>
      <c r="N913" s="354"/>
      <c r="Q913" s="360"/>
      <c r="R913" s="360"/>
      <c r="S913" s="360"/>
    </row>
    <row r="914" customFormat="false" ht="12.8" hidden="false" customHeight="false" outlineLevel="0" collapsed="false">
      <c r="B914" s="364" t="n">
        <v>44742</v>
      </c>
      <c r="C914" s="355" t="n">
        <f aca="false">YEAR('LT records'!$B914)</f>
        <v>2022</v>
      </c>
      <c r="D914" s="356" t="str">
        <f aca="false">'LT records'!$C914&amp;"-"&amp;MONTH('LT records'!$B914)</f>
        <v>2022-6</v>
      </c>
      <c r="E914" s="357" t="s">
        <v>14</v>
      </c>
      <c r="F914" s="357"/>
      <c r="G914" s="358"/>
      <c r="H914" s="359" t="n">
        <f aca="false">-1732-2000+440+50+100-108-7</f>
        <v>-3257</v>
      </c>
      <c r="I914" s="360" t="n">
        <f aca="false">1.26+0.6+0.9+1.2+0.1</f>
        <v>4.06</v>
      </c>
      <c r="J914" s="340"/>
      <c r="K914" s="340"/>
      <c r="L914" s="365" t="s">
        <v>763</v>
      </c>
      <c r="M914" s="350"/>
      <c r="N914" s="354"/>
      <c r="Q914" s="360"/>
      <c r="R914" s="360"/>
      <c r="S914" s="360"/>
    </row>
    <row r="915" customFormat="false" ht="12.8" hidden="false" customHeight="false" outlineLevel="0" collapsed="false">
      <c r="B915" s="364" t="n">
        <v>44723</v>
      </c>
      <c r="C915" s="355" t="n">
        <f aca="false">YEAR('LT records'!$B915)</f>
        <v>2022</v>
      </c>
      <c r="D915" s="356" t="str">
        <f aca="false">'LT records'!$C915&amp;"-"&amp;MONTH('LT records'!$B915)</f>
        <v>2022-6</v>
      </c>
      <c r="E915" s="357" t="s">
        <v>311</v>
      </c>
      <c r="F915" s="357"/>
      <c r="G915" s="358"/>
      <c r="H915" s="359" t="n">
        <f aca="false">760</f>
        <v>760</v>
      </c>
      <c r="I915" s="360"/>
      <c r="J915" s="340"/>
      <c r="K915" s="340"/>
      <c r="L915" s="365" t="s">
        <v>682</v>
      </c>
      <c r="M915" s="350"/>
      <c r="N915" s="354"/>
      <c r="Q915" s="360"/>
      <c r="R915" s="360"/>
      <c r="S915" s="360"/>
    </row>
    <row r="916" customFormat="false" ht="12.8" hidden="false" customHeight="false" outlineLevel="0" collapsed="false">
      <c r="B916" s="364" t="n">
        <v>44737</v>
      </c>
      <c r="C916" s="355" t="n">
        <f aca="false">YEAR('LT records'!$B916)</f>
        <v>2022</v>
      </c>
      <c r="D916" s="356" t="str">
        <f aca="false">'LT records'!$C916&amp;"-"&amp;MONTH('LT records'!$B916)</f>
        <v>2022-6</v>
      </c>
      <c r="E916" s="324" t="s">
        <v>318</v>
      </c>
      <c r="F916" s="357"/>
      <c r="G916" s="358"/>
      <c r="H916" s="359" t="n">
        <f aca="false">150</f>
        <v>150</v>
      </c>
      <c r="I916" s="360"/>
      <c r="J916" s="340"/>
      <c r="K916" s="340"/>
      <c r="L916" s="341" t="s">
        <v>764</v>
      </c>
      <c r="M916" s="350"/>
      <c r="N916" s="354"/>
      <c r="Q916" s="360"/>
      <c r="R916" s="360"/>
      <c r="S916" s="360"/>
    </row>
    <row r="917" customFormat="false" ht="12.8" hidden="false" customHeight="false" outlineLevel="0" collapsed="false">
      <c r="B917" s="366"/>
      <c r="C917" s="367"/>
      <c r="D917" s="368"/>
      <c r="E917" s="369"/>
      <c r="F917" s="369"/>
      <c r="G917" s="370"/>
      <c r="H917" s="371" t="n">
        <v>0</v>
      </c>
      <c r="I917" s="372"/>
      <c r="J917" s="373"/>
      <c r="K917" s="373"/>
      <c r="L917" s="374" t="s">
        <v>765</v>
      </c>
      <c r="M917" s="350"/>
      <c r="N917" s="354"/>
      <c r="Q917" s="360"/>
      <c r="R917" s="360"/>
      <c r="S917" s="360"/>
    </row>
    <row r="918" customFormat="false" ht="12.8" hidden="false" customHeight="false" outlineLevel="0" collapsed="false">
      <c r="B918" s="364" t="n">
        <v>44747</v>
      </c>
      <c r="C918" s="355" t="n">
        <f aca="false">YEAR('LT records'!$B918)</f>
        <v>2022</v>
      </c>
      <c r="D918" s="356" t="str">
        <f aca="false">'LT records'!$C918&amp;"-"&amp;MONTH('LT records'!$B918)</f>
        <v>2022-7</v>
      </c>
      <c r="E918" s="357" t="s">
        <v>301</v>
      </c>
      <c r="F918" s="357"/>
      <c r="G918" s="358"/>
      <c r="H918" s="359" t="n">
        <v>0</v>
      </c>
      <c r="I918" s="360" t="n">
        <v>341.54</v>
      </c>
      <c r="J918" s="340"/>
      <c r="K918" s="340"/>
      <c r="L918" s="365" t="s">
        <v>40</v>
      </c>
      <c r="M918" s="350"/>
      <c r="N918" s="354"/>
      <c r="Q918" s="360"/>
      <c r="R918" s="360"/>
      <c r="S918" s="360"/>
    </row>
    <row r="919" customFormat="false" ht="12.8" hidden="false" customHeight="false" outlineLevel="0" collapsed="false">
      <c r="B919" s="364" t="n">
        <v>44773</v>
      </c>
      <c r="C919" s="355" t="n">
        <f aca="false">YEAR('LT records'!$B919)</f>
        <v>2022</v>
      </c>
      <c r="D919" s="356" t="str">
        <f aca="false">'LT records'!$C919&amp;"-"&amp;MONTH('LT records'!$B919)</f>
        <v>2022-7</v>
      </c>
      <c r="E919" s="357" t="s">
        <v>14</v>
      </c>
      <c r="F919" s="357"/>
      <c r="G919" s="358"/>
      <c r="H919" s="359" t="n">
        <f aca="false">-30-2005+50</f>
        <v>-1985</v>
      </c>
      <c r="I919" s="360" t="n">
        <f aca="false">0.5+1.38+0.06</f>
        <v>1.94</v>
      </c>
      <c r="J919" s="340"/>
      <c r="K919" s="340"/>
      <c r="L919" s="365" t="s">
        <v>766</v>
      </c>
      <c r="M919" s="350"/>
      <c r="N919" s="354"/>
      <c r="Q919" s="360"/>
      <c r="R919" s="360"/>
      <c r="S919" s="360"/>
    </row>
    <row r="920" customFormat="false" ht="12.8" hidden="false" customHeight="false" outlineLevel="0" collapsed="false">
      <c r="B920" s="364" t="n">
        <v>44758</v>
      </c>
      <c r="C920" s="355" t="n">
        <f aca="false">YEAR('LT records'!$B920)</f>
        <v>2022</v>
      </c>
      <c r="D920" s="356" t="str">
        <f aca="false">'LT records'!$C920&amp;"-"&amp;MONTH('LT records'!$B920)</f>
        <v>2022-7</v>
      </c>
      <c r="E920" s="357" t="s">
        <v>311</v>
      </c>
      <c r="F920" s="357"/>
      <c r="G920" s="358"/>
      <c r="H920" s="359" t="n">
        <f aca="false">765+30</f>
        <v>795</v>
      </c>
      <c r="I920" s="360"/>
      <c r="J920" s="340"/>
      <c r="K920" s="340"/>
      <c r="L920" s="365" t="s">
        <v>682</v>
      </c>
      <c r="M920" s="350"/>
      <c r="N920" s="354"/>
      <c r="Q920" s="360"/>
      <c r="R920" s="360"/>
      <c r="S920" s="360"/>
    </row>
    <row r="921" customFormat="false" ht="12.8" hidden="false" customHeight="false" outlineLevel="0" collapsed="false">
      <c r="B921" s="364" t="n">
        <v>44767</v>
      </c>
      <c r="C921" s="355" t="n">
        <f aca="false">YEAR('LT records'!$B921)</f>
        <v>2022</v>
      </c>
      <c r="D921" s="356" t="str">
        <f aca="false">'LT records'!$C921&amp;"-"&amp;MONTH('LT records'!$B921)</f>
        <v>2022-7</v>
      </c>
      <c r="E921" s="324" t="s">
        <v>318</v>
      </c>
      <c r="F921" s="357"/>
      <c r="G921" s="358"/>
      <c r="H921" s="359" t="n">
        <v>150</v>
      </c>
      <c r="I921" s="360"/>
      <c r="J921" s="340"/>
      <c r="K921" s="340"/>
      <c r="L921" s="341" t="s">
        <v>764</v>
      </c>
      <c r="M921" s="350"/>
      <c r="N921" s="354"/>
      <c r="Q921" s="360"/>
      <c r="R921" s="360"/>
      <c r="S921" s="360"/>
    </row>
    <row r="922" customFormat="false" ht="12.8" hidden="false" customHeight="false" outlineLevel="0" collapsed="false">
      <c r="B922" s="366"/>
      <c r="C922" s="367"/>
      <c r="D922" s="368"/>
      <c r="E922" s="369"/>
      <c r="F922" s="369"/>
      <c r="G922" s="370"/>
      <c r="H922" s="371" t="n">
        <v>0</v>
      </c>
      <c r="I922" s="372"/>
      <c r="J922" s="373"/>
      <c r="K922" s="373"/>
      <c r="L922" s="374" t="s">
        <v>767</v>
      </c>
      <c r="M922" s="350"/>
      <c r="N922" s="354"/>
      <c r="Q922" s="360"/>
      <c r="R922" s="360"/>
      <c r="S922" s="360"/>
    </row>
    <row r="923" customFormat="false" ht="12.8" hidden="false" customHeight="false" outlineLevel="0" collapsed="false">
      <c r="B923" s="364" t="n">
        <v>44776</v>
      </c>
      <c r="C923" s="355" t="n">
        <f aca="false">YEAR('LT records'!$B923)</f>
        <v>2022</v>
      </c>
      <c r="D923" s="356" t="str">
        <f aca="false">'LT records'!$C923&amp;"-"&amp;MONTH('LT records'!$B923)</f>
        <v>2022-8</v>
      </c>
      <c r="E923" s="357" t="s">
        <v>302</v>
      </c>
      <c r="F923" s="357"/>
      <c r="G923" s="358"/>
      <c r="H923" s="359" t="n">
        <f aca="false">300</f>
        <v>300</v>
      </c>
      <c r="I923" s="360" t="n">
        <v>329.97</v>
      </c>
      <c r="J923" s="340"/>
      <c r="K923" s="340"/>
      <c r="L923" s="365" t="s">
        <v>768</v>
      </c>
      <c r="M923" s="350"/>
      <c r="N923" s="354"/>
      <c r="Q923" s="360"/>
      <c r="R923" s="360"/>
      <c r="S923" s="360"/>
    </row>
    <row r="924" customFormat="false" ht="12.8" hidden="false" customHeight="false" outlineLevel="0" collapsed="false">
      <c r="B924" s="364" t="n">
        <v>44804</v>
      </c>
      <c r="C924" s="355" t="n">
        <f aca="false">YEAR('LT records'!$B924)</f>
        <v>2022</v>
      </c>
      <c r="D924" s="356" t="str">
        <f aca="false">'LT records'!$C924&amp;"-"&amp;MONTH('LT records'!$B924)</f>
        <v>2022-8</v>
      </c>
      <c r="E924" s="357" t="s">
        <v>14</v>
      </c>
      <c r="F924" s="357"/>
      <c r="G924" s="358"/>
      <c r="H924" s="359" t="n">
        <f aca="false">-2003+170-1.01+50</f>
        <v>-1784.01</v>
      </c>
      <c r="I924" s="360" t="n">
        <f aca="false">0.24</f>
        <v>0.24</v>
      </c>
      <c r="J924" s="340"/>
      <c r="K924" s="340"/>
      <c r="L924" s="365" t="s">
        <v>769</v>
      </c>
      <c r="M924" s="350"/>
      <c r="N924" s="354"/>
      <c r="Q924" s="360"/>
      <c r="R924" s="360"/>
      <c r="S924" s="360"/>
    </row>
    <row r="925" customFormat="false" ht="12.8" hidden="false" customHeight="false" outlineLevel="0" collapsed="false">
      <c r="B925" s="364" t="n">
        <v>44787</v>
      </c>
      <c r="C925" s="355" t="n">
        <f aca="false">YEAR('LT records'!$B925)</f>
        <v>2022</v>
      </c>
      <c r="D925" s="356" t="str">
        <f aca="false">'LT records'!$C925&amp;"-"&amp;MONTH('LT records'!$B925)</f>
        <v>2022-8</v>
      </c>
      <c r="E925" s="357" t="s">
        <v>311</v>
      </c>
      <c r="F925" s="357"/>
      <c r="G925" s="358"/>
      <c r="H925" s="359" t="n">
        <f aca="false">770</f>
        <v>770</v>
      </c>
      <c r="I925" s="360"/>
      <c r="J925" s="340"/>
      <c r="K925" s="340"/>
      <c r="L925" s="365" t="s">
        <v>682</v>
      </c>
      <c r="M925" s="350"/>
      <c r="N925" s="354"/>
      <c r="Q925" s="360"/>
      <c r="R925" s="360"/>
      <c r="S925" s="360"/>
    </row>
    <row r="926" customFormat="false" ht="12.8" hidden="false" customHeight="false" outlineLevel="0" collapsed="false">
      <c r="B926" s="364" t="n">
        <v>44798</v>
      </c>
      <c r="C926" s="355" t="n">
        <f aca="false">YEAR('LT records'!$B926)</f>
        <v>2022</v>
      </c>
      <c r="D926" s="356" t="str">
        <f aca="false">'LT records'!$C926&amp;"-"&amp;MONTH('LT records'!$B926)</f>
        <v>2022-8</v>
      </c>
      <c r="E926" s="324" t="s">
        <v>318</v>
      </c>
      <c r="F926" s="357"/>
      <c r="G926" s="358"/>
      <c r="H926" s="359"/>
      <c r="I926" s="360"/>
      <c r="J926" s="340"/>
      <c r="K926" s="340"/>
      <c r="L926" s="377" t="s">
        <v>770</v>
      </c>
      <c r="M926" s="350"/>
      <c r="N926" s="354"/>
      <c r="Q926" s="360"/>
      <c r="R926" s="360"/>
      <c r="S926" s="360"/>
    </row>
    <row r="927" customFormat="false" ht="12.8" hidden="false" customHeight="false" outlineLevel="0" collapsed="false">
      <c r="B927" s="366"/>
      <c r="C927" s="367"/>
      <c r="D927" s="368"/>
      <c r="E927" s="369"/>
      <c r="F927" s="369"/>
      <c r="G927" s="370"/>
      <c r="H927" s="371" t="n">
        <v>0</v>
      </c>
      <c r="I927" s="372"/>
      <c r="J927" s="373"/>
      <c r="K927" s="373"/>
      <c r="L927" s="374" t="s">
        <v>771</v>
      </c>
      <c r="M927" s="350"/>
      <c r="N927" s="354"/>
      <c r="Q927" s="360"/>
      <c r="R927" s="360"/>
      <c r="S927" s="360"/>
    </row>
    <row r="928" customFormat="false" ht="12.8" hidden="false" customHeight="false" outlineLevel="0" collapsed="false">
      <c r="B928" s="364" t="n">
        <v>44810</v>
      </c>
      <c r="C928" s="355" t="n">
        <f aca="false">YEAR('LT records'!$B928)</f>
        <v>2022</v>
      </c>
      <c r="D928" s="356" t="str">
        <f aca="false">'LT records'!$C928&amp;"-"&amp;MONTH('LT records'!$B928)</f>
        <v>2022-9</v>
      </c>
      <c r="E928" s="357" t="s">
        <v>304</v>
      </c>
      <c r="F928" s="357"/>
      <c r="G928" s="358"/>
      <c r="H928" s="359" t="n">
        <v>0</v>
      </c>
      <c r="I928" s="360" t="n">
        <v>352.97</v>
      </c>
      <c r="J928" s="340"/>
      <c r="K928" s="340"/>
      <c r="L928" s="365" t="s">
        <v>40</v>
      </c>
      <c r="M928" s="350"/>
      <c r="N928" s="354"/>
      <c r="Q928" s="360"/>
      <c r="R928" s="360"/>
      <c r="S928" s="360"/>
    </row>
    <row r="929" customFormat="false" ht="12.8" hidden="false" customHeight="false" outlineLevel="0" collapsed="false">
      <c r="B929" s="364" t="n">
        <v>44834</v>
      </c>
      <c r="C929" s="355" t="n">
        <f aca="false">YEAR('LT records'!$B929)</f>
        <v>2022</v>
      </c>
      <c r="D929" s="356" t="str">
        <f aca="false">'LT records'!$C929&amp;"-"&amp;MONTH('LT records'!$B929)</f>
        <v>2022-9</v>
      </c>
      <c r="E929" s="357" t="s">
        <v>14</v>
      </c>
      <c r="F929" s="357"/>
      <c r="G929" s="358"/>
      <c r="H929" s="359" t="n">
        <f aca="false">-2000-3+65+348+4500-65+50+200</f>
        <v>3095</v>
      </c>
      <c r="I929" s="360" t="n">
        <f aca="false">0.5+1.38+0.06+0.2+0.05+0.4+0.16+0.16</f>
        <v>2.91</v>
      </c>
      <c r="J929" s="340"/>
      <c r="K929" s="340"/>
      <c r="L929" s="365" t="s">
        <v>772</v>
      </c>
      <c r="M929" s="350"/>
      <c r="N929" s="354"/>
      <c r="Q929" s="360"/>
      <c r="R929" s="360"/>
      <c r="S929" s="360"/>
    </row>
    <row r="930" customFormat="false" ht="12.8" hidden="false" customHeight="false" outlineLevel="0" collapsed="false">
      <c r="B930" s="364" t="n">
        <v>44825</v>
      </c>
      <c r="C930" s="355" t="n">
        <f aca="false">YEAR('LT records'!$B930)</f>
        <v>2022</v>
      </c>
      <c r="D930" s="356" t="str">
        <f aca="false">'LT records'!$C930&amp;"-"&amp;MONTH('LT records'!$B930)</f>
        <v>2022-9</v>
      </c>
      <c r="E930" s="357" t="s">
        <v>311</v>
      </c>
      <c r="F930" s="357"/>
      <c r="G930" s="358"/>
      <c r="H930" s="359" t="n">
        <f aca="false">-4500</f>
        <v>-4500</v>
      </c>
      <c r="I930" s="360"/>
      <c r="J930" s="340"/>
      <c r="K930" s="340"/>
      <c r="L930" s="365" t="s">
        <v>773</v>
      </c>
      <c r="M930" s="350"/>
      <c r="N930" s="354"/>
      <c r="Q930" s="360"/>
      <c r="R930" s="360"/>
      <c r="S930" s="360"/>
    </row>
    <row r="931" customFormat="false" ht="12.8" hidden="false" customHeight="false" outlineLevel="0" collapsed="false">
      <c r="B931" s="364" t="n">
        <v>44829</v>
      </c>
      <c r="C931" s="355" t="n">
        <f aca="false">YEAR('LT records'!$B931)</f>
        <v>2022</v>
      </c>
      <c r="D931" s="356" t="str">
        <f aca="false">'LT records'!$C931&amp;"-"&amp;MONTH('LT records'!$B931)</f>
        <v>2022-9</v>
      </c>
      <c r="E931" s="324" t="s">
        <v>318</v>
      </c>
      <c r="F931" s="357"/>
      <c r="G931" s="358"/>
      <c r="H931" s="359" t="n">
        <v>150</v>
      </c>
      <c r="I931" s="360"/>
      <c r="J931" s="340"/>
      <c r="K931" s="340"/>
      <c r="L931" s="341" t="s">
        <v>764</v>
      </c>
      <c r="M931" s="350"/>
      <c r="N931" s="354"/>
      <c r="Q931" s="360"/>
      <c r="R931" s="360"/>
      <c r="S931" s="360"/>
    </row>
    <row r="932" customFormat="false" ht="12.8" hidden="false" customHeight="false" outlineLevel="0" collapsed="false">
      <c r="B932" s="366"/>
      <c r="C932" s="367"/>
      <c r="D932" s="368"/>
      <c r="E932" s="369"/>
      <c r="F932" s="369"/>
      <c r="G932" s="370"/>
      <c r="H932" s="371" t="n">
        <v>0</v>
      </c>
      <c r="I932" s="372"/>
      <c r="J932" s="373"/>
      <c r="K932" s="373"/>
      <c r="L932" s="374" t="s">
        <v>774</v>
      </c>
      <c r="M932" s="350"/>
      <c r="N932" s="354"/>
      <c r="Q932" s="360"/>
      <c r="R932" s="360"/>
      <c r="S932" s="360"/>
    </row>
    <row r="933" customFormat="false" ht="12.8" hidden="false" customHeight="false" outlineLevel="0" collapsed="false">
      <c r="B933" s="364" t="n">
        <v>44838</v>
      </c>
      <c r="C933" s="355" t="n">
        <f aca="false">YEAR('LT records'!$B933)</f>
        <v>2022</v>
      </c>
      <c r="D933" s="356" t="str">
        <f aca="false">'LT records'!$C933&amp;"-"&amp;MONTH('LT records'!$B933)</f>
        <v>2022-10</v>
      </c>
      <c r="E933" s="357" t="s">
        <v>305</v>
      </c>
      <c r="F933" s="357"/>
      <c r="G933" s="358"/>
      <c r="H933" s="359" t="n">
        <v>0</v>
      </c>
      <c r="I933" s="360" t="n">
        <v>380.65</v>
      </c>
      <c r="J933" s="340"/>
      <c r="K933" s="340"/>
      <c r="L933" s="365" t="s">
        <v>40</v>
      </c>
      <c r="M933" s="350"/>
      <c r="N933" s="354"/>
      <c r="Q933" s="360"/>
      <c r="R933" s="360"/>
      <c r="S933" s="360"/>
    </row>
    <row r="934" customFormat="false" ht="12.8" hidden="false" customHeight="false" outlineLevel="0" collapsed="false">
      <c r="B934" s="364" t="n">
        <v>44864</v>
      </c>
      <c r="C934" s="355" t="n">
        <f aca="false">YEAR('LT records'!$B934)</f>
        <v>2022</v>
      </c>
      <c r="D934" s="356" t="str">
        <f aca="false">'LT records'!$C934&amp;"-"&amp;MONTH('LT records'!$B934)</f>
        <v>2022-10</v>
      </c>
      <c r="E934" s="357" t="s">
        <v>14</v>
      </c>
      <c r="F934" s="357"/>
      <c r="G934" s="358"/>
      <c r="H934" s="359" t="n">
        <f aca="false">-2003+500+426+50+740</f>
        <v>-287</v>
      </c>
      <c r="I934" s="360" t="n">
        <f aca="false">0.24+0.35+0.18+4.58+1.84</f>
        <v>7.19</v>
      </c>
      <c r="J934" s="340"/>
      <c r="K934" s="340"/>
      <c r="L934" s="365" t="s">
        <v>775</v>
      </c>
      <c r="M934" s="350"/>
      <c r="N934" s="354"/>
      <c r="Q934" s="360"/>
      <c r="R934" s="360"/>
      <c r="S934" s="360"/>
    </row>
    <row r="935" customFormat="false" ht="12.8" hidden="false" customHeight="false" outlineLevel="0" collapsed="false">
      <c r="B935" s="364" t="n">
        <v>44849</v>
      </c>
      <c r="C935" s="355" t="n">
        <f aca="false">YEAR('LT records'!$B935)</f>
        <v>2022</v>
      </c>
      <c r="D935" s="356" t="str">
        <f aca="false">'LT records'!$C935&amp;"-"&amp;MONTH('LT records'!$B935)</f>
        <v>2022-10</v>
      </c>
      <c r="E935" s="357" t="s">
        <v>311</v>
      </c>
      <c r="F935" s="357"/>
      <c r="G935" s="358"/>
      <c r="H935" s="359"/>
      <c r="I935" s="360"/>
      <c r="J935" s="340"/>
      <c r="K935" s="340"/>
      <c r="L935" s="365" t="s">
        <v>773</v>
      </c>
      <c r="M935" s="350"/>
      <c r="N935" s="354"/>
      <c r="Q935" s="360"/>
      <c r="R935" s="360"/>
      <c r="S935" s="360"/>
    </row>
    <row r="936" customFormat="false" ht="12.8" hidden="false" customHeight="false" outlineLevel="0" collapsed="false">
      <c r="B936" s="364" t="n">
        <v>44859</v>
      </c>
      <c r="C936" s="355" t="n">
        <f aca="false">YEAR('LT records'!$B936)</f>
        <v>2022</v>
      </c>
      <c r="D936" s="356" t="str">
        <f aca="false">'LT records'!$C936&amp;"-"&amp;MONTH('LT records'!$B936)</f>
        <v>2022-10</v>
      </c>
      <c r="E936" s="324" t="s">
        <v>318</v>
      </c>
      <c r="F936" s="357"/>
      <c r="G936" s="358"/>
      <c r="H936" s="359" t="n">
        <v>150</v>
      </c>
      <c r="I936" s="360"/>
      <c r="J936" s="340"/>
      <c r="K936" s="340"/>
      <c r="L936" s="341" t="s">
        <v>764</v>
      </c>
      <c r="M936" s="350"/>
      <c r="N936" s="354"/>
      <c r="Q936" s="360"/>
      <c r="R936" s="360"/>
      <c r="S936" s="360"/>
    </row>
    <row r="937" customFormat="false" ht="12.8" hidden="false" customHeight="false" outlineLevel="0" collapsed="false">
      <c r="B937" s="366"/>
      <c r="C937" s="367"/>
      <c r="D937" s="368"/>
      <c r="E937" s="369"/>
      <c r="F937" s="369"/>
      <c r="G937" s="370"/>
      <c r="H937" s="371" t="n">
        <v>0</v>
      </c>
      <c r="I937" s="372"/>
      <c r="J937" s="373"/>
      <c r="K937" s="373"/>
      <c r="L937" s="374" t="s">
        <v>776</v>
      </c>
      <c r="M937" s="350"/>
      <c r="N937" s="354"/>
      <c r="Q937" s="360"/>
      <c r="R937" s="360"/>
      <c r="S937" s="360"/>
    </row>
    <row r="938" customFormat="false" ht="12.8" hidden="false" customHeight="false" outlineLevel="0" collapsed="false">
      <c r="B938" s="364" t="n">
        <v>44868</v>
      </c>
      <c r="C938" s="355" t="n">
        <f aca="false">YEAR('LT records'!$B938)</f>
        <v>2022</v>
      </c>
      <c r="D938" s="356" t="str">
        <f aca="false">'LT records'!$C938&amp;"-"&amp;MONTH('LT records'!$B938)</f>
        <v>2022-11</v>
      </c>
      <c r="E938" s="357" t="s">
        <v>307</v>
      </c>
      <c r="F938" s="357"/>
      <c r="G938" s="358"/>
      <c r="H938" s="359" t="n">
        <v>0</v>
      </c>
      <c r="I938" s="360" t="n">
        <v>377.730000000001</v>
      </c>
      <c r="J938" s="340"/>
      <c r="K938" s="340"/>
      <c r="L938" s="365" t="s">
        <v>777</v>
      </c>
      <c r="M938" s="350"/>
      <c r="N938" s="354"/>
      <c r="Q938" s="360"/>
      <c r="R938" s="360"/>
      <c r="S938" s="360"/>
    </row>
    <row r="939" customFormat="false" ht="12.8" hidden="false" customHeight="false" outlineLevel="0" collapsed="false">
      <c r="B939" s="364" t="n">
        <v>44895</v>
      </c>
      <c r="C939" s="355" t="n">
        <f aca="false">YEAR('LT records'!$B939)</f>
        <v>2022</v>
      </c>
      <c r="D939" s="356" t="str">
        <f aca="false">'LT records'!$C939&amp;"-"&amp;MONTH('LT records'!$B939)</f>
        <v>2022-11</v>
      </c>
      <c r="E939" s="357" t="s">
        <v>14</v>
      </c>
      <c r="F939" s="357"/>
      <c r="G939" s="358"/>
      <c r="H939" s="359" t="n">
        <f aca="false">-2003+607+246+50+35+450</f>
        <v>-615</v>
      </c>
      <c r="I939" s="360" t="n">
        <f aca="false">2.48+1.48+3.52+5.28+2.05</f>
        <v>14.81</v>
      </c>
      <c r="J939" s="340"/>
      <c r="K939" s="340"/>
      <c r="L939" s="365" t="s">
        <v>778</v>
      </c>
      <c r="M939" s="350"/>
      <c r="N939" s="354"/>
      <c r="Q939" s="360"/>
      <c r="R939" s="360"/>
      <c r="S939" s="360"/>
    </row>
    <row r="940" customFormat="false" ht="12.8" hidden="false" customHeight="false" outlineLevel="0" collapsed="false">
      <c r="B940" s="364" t="n">
        <v>44880</v>
      </c>
      <c r="C940" s="355" t="n">
        <f aca="false">YEAR('LT records'!$B940)</f>
        <v>2022</v>
      </c>
      <c r="D940" s="356" t="str">
        <f aca="false">'LT records'!$C940&amp;"-"&amp;MONTH('LT records'!$B940)</f>
        <v>2022-11</v>
      </c>
      <c r="E940" s="357" t="s">
        <v>311</v>
      </c>
      <c r="F940" s="357"/>
      <c r="G940" s="358"/>
      <c r="H940" s="359"/>
      <c r="I940" s="360"/>
      <c r="J940" s="340"/>
      <c r="K940" s="340"/>
      <c r="L940" s="365" t="s">
        <v>779</v>
      </c>
      <c r="M940" s="350"/>
      <c r="N940" s="354"/>
      <c r="Q940" s="360"/>
      <c r="R940" s="360"/>
      <c r="S940" s="360"/>
    </row>
    <row r="941" customFormat="false" ht="12.8" hidden="false" customHeight="false" outlineLevel="0" collapsed="false">
      <c r="B941" s="364" t="n">
        <v>44890</v>
      </c>
      <c r="C941" s="355" t="n">
        <f aca="false">YEAR('LT records'!$B941)</f>
        <v>2022</v>
      </c>
      <c r="D941" s="356" t="str">
        <f aca="false">'LT records'!$C941&amp;"-"&amp;MONTH('LT records'!$B941)</f>
        <v>2022-11</v>
      </c>
      <c r="E941" s="324" t="s">
        <v>318</v>
      </c>
      <c r="F941" s="357"/>
      <c r="G941" s="358"/>
      <c r="H941" s="359" t="n">
        <f aca="false">150</f>
        <v>150</v>
      </c>
      <c r="I941" s="360"/>
      <c r="J941" s="340"/>
      <c r="K941" s="340"/>
      <c r="L941" s="341" t="s">
        <v>764</v>
      </c>
      <c r="M941" s="350"/>
      <c r="N941" s="354"/>
      <c r="Q941" s="360"/>
      <c r="R941" s="360"/>
      <c r="S941" s="360"/>
    </row>
    <row r="942" customFormat="false" ht="12.8" hidden="false" customHeight="false" outlineLevel="0" collapsed="false">
      <c r="B942" s="366"/>
      <c r="C942" s="367"/>
      <c r="D942" s="368"/>
      <c r="E942" s="369"/>
      <c r="F942" s="369"/>
      <c r="G942" s="370"/>
      <c r="H942" s="371" t="n">
        <v>0</v>
      </c>
      <c r="I942" s="372"/>
      <c r="J942" s="373"/>
      <c r="K942" s="373"/>
      <c r="L942" s="374" t="s">
        <v>780</v>
      </c>
      <c r="M942" s="350"/>
      <c r="N942" s="354"/>
      <c r="Q942" s="360"/>
      <c r="R942" s="360"/>
      <c r="S942" s="360"/>
    </row>
    <row r="943" customFormat="false" ht="12.8" hidden="false" customHeight="false" outlineLevel="0" collapsed="false">
      <c r="B943" s="364" t="n">
        <v>44901</v>
      </c>
      <c r="C943" s="355" t="n">
        <f aca="false">YEAR('LT records'!$B943)</f>
        <v>2022</v>
      </c>
      <c r="D943" s="356" t="str">
        <f aca="false">'LT records'!$C943&amp;"-"&amp;MONTH('LT records'!$B943)</f>
        <v>2022-12</v>
      </c>
      <c r="E943" s="357" t="s">
        <v>308</v>
      </c>
      <c r="F943" s="357"/>
      <c r="G943" s="358"/>
      <c r="H943" s="359" t="n">
        <v>0</v>
      </c>
      <c r="I943" s="360" t="n">
        <v>394.02</v>
      </c>
      <c r="J943" s="340"/>
      <c r="K943" s="340"/>
      <c r="L943" s="365" t="s">
        <v>40</v>
      </c>
      <c r="M943" s="350"/>
      <c r="N943" s="354"/>
      <c r="Q943" s="360"/>
      <c r="R943" s="360"/>
      <c r="S943" s="360"/>
    </row>
    <row r="944" customFormat="false" ht="12.8" hidden="false" customHeight="false" outlineLevel="0" collapsed="false">
      <c r="B944" s="364" t="n">
        <v>44926</v>
      </c>
      <c r="C944" s="355" t="n">
        <f aca="false">YEAR('LT records'!$B944)</f>
        <v>2022</v>
      </c>
      <c r="D944" s="356" t="str">
        <f aca="false">'LT records'!$C944&amp;"-"&amp;MONTH('LT records'!$B944)</f>
        <v>2022-12</v>
      </c>
      <c r="E944" s="357" t="s">
        <v>14</v>
      </c>
      <c r="F944" s="357"/>
      <c r="G944" s="358"/>
      <c r="H944" s="359" t="n">
        <f aca="false">-2003+190+150+35+50+400</f>
        <v>-1178</v>
      </c>
      <c r="I944" s="360" t="n">
        <f aca="false">2.16+2.7+3.04+1.7+0.7</f>
        <v>10.3</v>
      </c>
      <c r="J944" s="340"/>
      <c r="K944" s="340"/>
      <c r="L944" s="365" t="s">
        <v>781</v>
      </c>
      <c r="M944" s="350"/>
      <c r="N944" s="354"/>
      <c r="Q944" s="360"/>
      <c r="R944" s="360"/>
      <c r="S944" s="360"/>
    </row>
    <row r="945" customFormat="false" ht="12.8" hidden="false" customHeight="false" outlineLevel="0" collapsed="false">
      <c r="B945" s="364" t="n">
        <v>44910</v>
      </c>
      <c r="C945" s="355" t="n">
        <f aca="false">YEAR('LT records'!$B945)</f>
        <v>2022</v>
      </c>
      <c r="D945" s="356" t="str">
        <f aca="false">'LT records'!$C945&amp;"-"&amp;MONTH('LT records'!$B945)</f>
        <v>2022-12</v>
      </c>
      <c r="E945" s="357" t="s">
        <v>311</v>
      </c>
      <c r="F945" s="357"/>
      <c r="G945" s="358"/>
      <c r="H945" s="359" t="n">
        <v>0</v>
      </c>
      <c r="I945" s="360"/>
      <c r="J945" s="340"/>
      <c r="K945" s="340"/>
      <c r="L945" s="365" t="s">
        <v>773</v>
      </c>
      <c r="M945" s="350"/>
      <c r="N945" s="354"/>
      <c r="Q945" s="360"/>
      <c r="R945" s="360"/>
      <c r="S945" s="360"/>
    </row>
    <row r="946" customFormat="false" ht="12.8" hidden="false" customHeight="false" outlineLevel="0" collapsed="false">
      <c r="B946" s="364" t="n">
        <v>44920</v>
      </c>
      <c r="C946" s="355" t="n">
        <f aca="false">YEAR('LT records'!$B946)</f>
        <v>2022</v>
      </c>
      <c r="D946" s="356" t="str">
        <f aca="false">'LT records'!$C946&amp;"-"&amp;MONTH('LT records'!$B946)</f>
        <v>2022-12</v>
      </c>
      <c r="E946" s="324" t="s">
        <v>318</v>
      </c>
      <c r="F946" s="357"/>
      <c r="G946" s="358"/>
      <c r="H946" s="359" t="n">
        <f aca="false">150</f>
        <v>150</v>
      </c>
      <c r="I946" s="360"/>
      <c r="J946" s="340"/>
      <c r="K946" s="340"/>
      <c r="L946" s="341" t="s">
        <v>764</v>
      </c>
      <c r="M946" s="350"/>
      <c r="N946" s="354"/>
      <c r="Q946" s="360"/>
      <c r="R946" s="360"/>
      <c r="S946" s="360"/>
    </row>
    <row r="947" customFormat="false" ht="12.8" hidden="false" customHeight="false" outlineLevel="0" collapsed="false">
      <c r="B947" s="366"/>
      <c r="C947" s="367"/>
      <c r="D947" s="368"/>
      <c r="E947" s="369"/>
      <c r="F947" s="369"/>
      <c r="G947" s="370"/>
      <c r="H947" s="371" t="n">
        <v>0</v>
      </c>
      <c r="I947" s="372"/>
      <c r="J947" s="373"/>
      <c r="K947" s="373"/>
      <c r="L947" s="374" t="s">
        <v>782</v>
      </c>
      <c r="M947" s="350"/>
      <c r="N947" s="354"/>
      <c r="Q947" s="360"/>
      <c r="R947" s="360"/>
      <c r="S947" s="360"/>
    </row>
    <row r="948" customFormat="false" ht="12.8" hidden="false" customHeight="false" outlineLevel="0" collapsed="false">
      <c r="B948" s="364" t="n">
        <v>44930</v>
      </c>
      <c r="C948" s="355" t="n">
        <f aca="false">YEAR('LT records'!$B948)</f>
        <v>2023</v>
      </c>
      <c r="D948" s="356" t="str">
        <f aca="false">'LT records'!$C948&amp;"-"&amp;MONTH('LT records'!$B948)</f>
        <v>2023-1</v>
      </c>
      <c r="E948" s="357" t="s">
        <v>291</v>
      </c>
      <c r="F948" s="357"/>
      <c r="G948" s="358"/>
      <c r="H948" s="359" t="n">
        <v>0</v>
      </c>
      <c r="I948" s="360" t="n">
        <v>528.75</v>
      </c>
      <c r="J948" s="340"/>
      <c r="K948" s="340"/>
      <c r="L948" s="365" t="s">
        <v>40</v>
      </c>
      <c r="M948" s="350"/>
      <c r="N948" s="354"/>
      <c r="Q948" s="360"/>
      <c r="R948" s="360"/>
      <c r="S948" s="360"/>
    </row>
    <row r="949" customFormat="false" ht="12.8" hidden="false" customHeight="false" outlineLevel="0" collapsed="false">
      <c r="B949" s="364" t="n">
        <v>44957</v>
      </c>
      <c r="C949" s="355" t="n">
        <f aca="false">YEAR('LT records'!$B949)</f>
        <v>2023</v>
      </c>
      <c r="D949" s="356" t="str">
        <f aca="false">'LT records'!$C949&amp;"-"&amp;MONTH('LT records'!$B949)</f>
        <v>2023-1</v>
      </c>
      <c r="E949" s="357" t="s">
        <v>14</v>
      </c>
      <c r="F949" s="357"/>
      <c r="G949" s="358"/>
      <c r="H949" s="359" t="n">
        <f aca="false">-2003+250+403+2500+385-65+50</f>
        <v>1520</v>
      </c>
      <c r="I949" s="360" t="n">
        <f aca="false">1.6+0.45+0.9+2.7+6.38+0.58+2.32</f>
        <v>14.93</v>
      </c>
      <c r="J949" s="340"/>
      <c r="K949" s="340"/>
      <c r="L949" s="365" t="s">
        <v>783</v>
      </c>
      <c r="M949" s="350"/>
      <c r="N949" s="354"/>
      <c r="Q949" s="360"/>
      <c r="R949" s="360"/>
      <c r="S949" s="360"/>
    </row>
    <row r="950" customFormat="false" ht="12.8" hidden="false" customHeight="false" outlineLevel="0" collapsed="false">
      <c r="B950" s="364" t="n">
        <v>44941</v>
      </c>
      <c r="C950" s="355" t="n">
        <f aca="false">YEAR('LT records'!$B950)</f>
        <v>2023</v>
      </c>
      <c r="D950" s="356" t="str">
        <f aca="false">'LT records'!$C950&amp;"-"&amp;MONTH('LT records'!$B950)</f>
        <v>2023-1</v>
      </c>
      <c r="E950" s="357" t="s">
        <v>311</v>
      </c>
      <c r="F950" s="357"/>
      <c r="G950" s="358"/>
      <c r="H950" s="359" t="n">
        <f aca="false">-2500</f>
        <v>-2500</v>
      </c>
      <c r="I950" s="360"/>
      <c r="J950" s="340"/>
      <c r="K950" s="340"/>
      <c r="L950" s="365" t="s">
        <v>773</v>
      </c>
      <c r="M950" s="350"/>
      <c r="N950" s="354"/>
      <c r="Q950" s="360"/>
      <c r="R950" s="360"/>
      <c r="S950" s="360"/>
    </row>
    <row r="951" customFormat="false" ht="12.8" hidden="false" customHeight="false" outlineLevel="0" collapsed="false">
      <c r="B951" s="364" t="n">
        <v>44951</v>
      </c>
      <c r="C951" s="355" t="n">
        <f aca="false">YEAR('LT records'!$B951)</f>
        <v>2023</v>
      </c>
      <c r="D951" s="356" t="str">
        <f aca="false">'LT records'!$C951&amp;"-"&amp;MONTH('LT records'!$B951)</f>
        <v>2023-1</v>
      </c>
      <c r="E951" s="324" t="s">
        <v>318</v>
      </c>
      <c r="F951" s="357"/>
      <c r="G951" s="358"/>
      <c r="H951" s="359" t="n">
        <v>150</v>
      </c>
      <c r="I951" s="360"/>
      <c r="J951" s="340"/>
      <c r="K951" s="340"/>
      <c r="L951" s="341" t="s">
        <v>764</v>
      </c>
      <c r="M951" s="350"/>
      <c r="N951" s="354"/>
      <c r="Q951" s="360"/>
      <c r="R951" s="360"/>
      <c r="S951" s="360"/>
    </row>
    <row r="952" customFormat="false" ht="12.8" hidden="false" customHeight="false" outlineLevel="0" collapsed="false">
      <c r="B952" s="366"/>
      <c r="C952" s="367"/>
      <c r="D952" s="368"/>
      <c r="E952" s="369"/>
      <c r="F952" s="369"/>
      <c r="G952" s="370"/>
      <c r="H952" s="371" t="n">
        <v>0</v>
      </c>
      <c r="I952" s="372"/>
      <c r="J952" s="373"/>
      <c r="K952" s="373"/>
      <c r="L952" s="374" t="s">
        <v>784</v>
      </c>
      <c r="M952" s="350"/>
      <c r="N952" s="354"/>
      <c r="Q952" s="360"/>
      <c r="R952" s="360"/>
      <c r="S952" s="360"/>
    </row>
    <row r="953" customFormat="false" ht="12.8" hidden="false" customHeight="false" outlineLevel="0" collapsed="false">
      <c r="B953" s="364" t="n">
        <v>44960</v>
      </c>
      <c r="C953" s="355" t="n">
        <f aca="false">YEAR('LT records'!$B953)</f>
        <v>2023</v>
      </c>
      <c r="D953" s="356" t="str">
        <f aca="false">'LT records'!$C953&amp;"-"&amp;MONTH('LT records'!$B953)</f>
        <v>2023-2</v>
      </c>
      <c r="E953" s="357" t="s">
        <v>294</v>
      </c>
      <c r="F953" s="357"/>
      <c r="G953" s="358"/>
      <c r="H953" s="359" t="n">
        <v>0</v>
      </c>
      <c r="I953" s="360" t="n">
        <v>540.130000000001</v>
      </c>
      <c r="J953" s="340"/>
      <c r="K953" s="340"/>
      <c r="L953" s="365" t="s">
        <v>40</v>
      </c>
      <c r="M953" s="350"/>
      <c r="N953" s="354"/>
      <c r="Q953" s="360"/>
      <c r="R953" s="360"/>
      <c r="S953" s="360"/>
    </row>
    <row r="954" customFormat="false" ht="12.8" hidden="false" customHeight="false" outlineLevel="0" collapsed="false">
      <c r="B954" s="364" t="n">
        <v>44985</v>
      </c>
      <c r="C954" s="355" t="n">
        <f aca="false">YEAR('LT records'!$B954)</f>
        <v>2023</v>
      </c>
      <c r="D954" s="356" t="str">
        <f aca="false">'LT records'!$C954&amp;"-"&amp;MONTH('LT records'!$B954)</f>
        <v>2023-2</v>
      </c>
      <c r="E954" s="357" t="s">
        <v>14</v>
      </c>
      <c r="F954" s="357"/>
      <c r="G954" s="358"/>
      <c r="H954" s="359" t="n">
        <f aca="false">-1803+1152+252-65+50</f>
        <v>-414</v>
      </c>
      <c r="I954" s="360" t="n">
        <f aca="false">0.74+7.01+5.4+0.53</f>
        <v>13.68</v>
      </c>
      <c r="J954" s="340"/>
      <c r="K954" s="340"/>
      <c r="L954" s="365" t="s">
        <v>783</v>
      </c>
      <c r="M954" s="350"/>
      <c r="N954" s="354"/>
      <c r="Q954" s="360"/>
      <c r="R954" s="360"/>
      <c r="S954" s="360"/>
    </row>
    <row r="955" customFormat="false" ht="12.8" hidden="false" customHeight="false" outlineLevel="0" collapsed="false">
      <c r="B955" s="364" t="n">
        <v>44972</v>
      </c>
      <c r="C955" s="355" t="n">
        <f aca="false">YEAR('LT records'!$B955)</f>
        <v>2023</v>
      </c>
      <c r="D955" s="356" t="str">
        <f aca="false">'LT records'!$C955&amp;"-"&amp;MONTH('LT records'!$B955)</f>
        <v>2023-2</v>
      </c>
      <c r="E955" s="357" t="s">
        <v>311</v>
      </c>
      <c r="F955" s="357"/>
      <c r="G955" s="358"/>
      <c r="H955" s="359" t="n">
        <v>0</v>
      </c>
      <c r="I955" s="360"/>
      <c r="J955" s="340"/>
      <c r="K955" s="340"/>
      <c r="L955" s="365" t="s">
        <v>773</v>
      </c>
      <c r="M955" s="350"/>
      <c r="N955" s="354"/>
      <c r="Q955" s="360"/>
      <c r="R955" s="360"/>
      <c r="S955" s="360"/>
    </row>
    <row r="956" customFormat="false" ht="12.8" hidden="false" customHeight="false" outlineLevel="0" collapsed="false">
      <c r="B956" s="364" t="n">
        <v>44982</v>
      </c>
      <c r="C956" s="355" t="n">
        <f aca="false">YEAR('LT records'!$B956)</f>
        <v>2023</v>
      </c>
      <c r="D956" s="356" t="str">
        <f aca="false">'LT records'!$C956&amp;"-"&amp;MONTH('LT records'!$B956)</f>
        <v>2023-2</v>
      </c>
      <c r="E956" s="324" t="s">
        <v>318</v>
      </c>
      <c r="F956" s="357"/>
      <c r="G956" s="358"/>
      <c r="H956" s="359" t="n">
        <v>150</v>
      </c>
      <c r="I956" s="360"/>
      <c r="J956" s="340"/>
      <c r="K956" s="340"/>
      <c r="L956" s="341" t="s">
        <v>764</v>
      </c>
      <c r="M956" s="350"/>
      <c r="N956" s="354"/>
      <c r="Q956" s="360"/>
      <c r="R956" s="360"/>
      <c r="S956" s="360"/>
    </row>
    <row r="957" customFormat="false" ht="12.8" hidden="false" customHeight="false" outlineLevel="0" collapsed="false">
      <c r="B957" s="366"/>
      <c r="C957" s="367"/>
      <c r="D957" s="368"/>
      <c r="E957" s="369"/>
      <c r="F957" s="369"/>
      <c r="G957" s="370"/>
      <c r="H957" s="371" t="n">
        <v>0</v>
      </c>
      <c r="I957" s="372"/>
      <c r="J957" s="373"/>
      <c r="K957" s="373"/>
      <c r="L957" s="374" t="s">
        <v>785</v>
      </c>
      <c r="M957" s="350"/>
      <c r="N957" s="354"/>
      <c r="Q957" s="360"/>
      <c r="R957" s="360"/>
      <c r="S957" s="360"/>
    </row>
    <row r="958" customFormat="false" ht="12.8" hidden="false" customHeight="false" outlineLevel="0" collapsed="false">
      <c r="B958" s="364" t="n">
        <v>44988</v>
      </c>
      <c r="C958" s="355" t="n">
        <f aca="false">YEAR('LT records'!$B958)</f>
        <v>2023</v>
      </c>
      <c r="D958" s="356" t="str">
        <f aca="false">'LT records'!$C958&amp;"-"&amp;MONTH('LT records'!$B958)</f>
        <v>2023-3</v>
      </c>
      <c r="E958" s="357" t="s">
        <v>296</v>
      </c>
      <c r="F958" s="357"/>
      <c r="G958" s="358"/>
      <c r="H958" s="359" t="n">
        <v>0</v>
      </c>
      <c r="I958" s="360" t="n">
        <v>570.24</v>
      </c>
      <c r="J958" s="340"/>
      <c r="K958" s="340"/>
      <c r="L958" s="365" t="s">
        <v>40</v>
      </c>
      <c r="M958" s="350"/>
      <c r="N958" s="354"/>
      <c r="Q958" s="360"/>
      <c r="R958" s="360"/>
      <c r="S958" s="360"/>
    </row>
    <row r="959" customFormat="false" ht="12.8" hidden="false" customHeight="false" outlineLevel="0" collapsed="false">
      <c r="B959" s="364" t="n">
        <v>45016</v>
      </c>
      <c r="C959" s="355" t="n">
        <f aca="false">YEAR('LT records'!$B959)</f>
        <v>2023</v>
      </c>
      <c r="D959" s="356" t="str">
        <f aca="false">'LT records'!$C959&amp;"-"&amp;MONTH('LT records'!$B959)</f>
        <v>2023-3</v>
      </c>
      <c r="E959" s="357" t="s">
        <v>14</v>
      </c>
      <c r="F959" s="357"/>
      <c r="G959" s="358"/>
      <c r="H959" s="359" t="n">
        <f aca="false">-2003+688+700-65+50</f>
        <v>-630</v>
      </c>
      <c r="I959" s="360" t="n">
        <f aca="false">3.24+0.29+3.04+0.38+5.17</f>
        <v>12.12</v>
      </c>
      <c r="J959" s="340"/>
      <c r="K959" s="340"/>
      <c r="L959" s="365" t="s">
        <v>783</v>
      </c>
      <c r="M959" s="350"/>
      <c r="N959" s="354"/>
      <c r="Q959" s="360"/>
      <c r="R959" s="360"/>
      <c r="S959" s="360"/>
    </row>
    <row r="960" customFormat="false" ht="12.8" hidden="false" customHeight="false" outlineLevel="0" collapsed="false">
      <c r="B960" s="364" t="n">
        <v>45000</v>
      </c>
      <c r="C960" s="355" t="n">
        <f aca="false">YEAR('LT records'!$B960)</f>
        <v>2023</v>
      </c>
      <c r="D960" s="356" t="str">
        <f aca="false">'LT records'!$C960&amp;"-"&amp;MONTH('LT records'!$B960)</f>
        <v>2023-3</v>
      </c>
      <c r="E960" s="357" t="s">
        <v>311</v>
      </c>
      <c r="F960" s="357"/>
      <c r="G960" s="358"/>
      <c r="H960" s="359" t="n">
        <v>0</v>
      </c>
      <c r="I960" s="360"/>
      <c r="J960" s="340"/>
      <c r="K960" s="340"/>
      <c r="L960" s="365" t="s">
        <v>773</v>
      </c>
      <c r="M960" s="350"/>
      <c r="N960" s="354"/>
      <c r="Q960" s="360"/>
      <c r="R960" s="360"/>
      <c r="S960" s="360"/>
    </row>
    <row r="961" customFormat="false" ht="12.8" hidden="false" customHeight="false" outlineLevel="0" collapsed="false">
      <c r="B961" s="364" t="n">
        <v>45010</v>
      </c>
      <c r="C961" s="355" t="n">
        <f aca="false">YEAR('LT records'!$B961)</f>
        <v>2023</v>
      </c>
      <c r="D961" s="356" t="str">
        <f aca="false">'LT records'!$C961&amp;"-"&amp;MONTH('LT records'!$B961)</f>
        <v>2023-3</v>
      </c>
      <c r="E961" s="324" t="s">
        <v>318</v>
      </c>
      <c r="F961" s="357"/>
      <c r="G961" s="358"/>
      <c r="H961" s="359" t="n">
        <v>150</v>
      </c>
      <c r="I961" s="360"/>
      <c r="J961" s="340"/>
      <c r="K961" s="340"/>
      <c r="L961" s="341" t="s">
        <v>764</v>
      </c>
      <c r="M961" s="350"/>
      <c r="N961" s="354"/>
      <c r="Q961" s="360"/>
      <c r="R961" s="360"/>
      <c r="S961" s="360"/>
    </row>
    <row r="962" customFormat="false" ht="12.8" hidden="false" customHeight="false" outlineLevel="0" collapsed="false">
      <c r="B962" s="366"/>
      <c r="C962" s="367"/>
      <c r="D962" s="368"/>
      <c r="E962" s="369"/>
      <c r="F962" s="369"/>
      <c r="G962" s="370"/>
      <c r="H962" s="371" t="n">
        <v>0</v>
      </c>
      <c r="I962" s="372"/>
      <c r="J962" s="373"/>
      <c r="K962" s="373"/>
      <c r="L962" s="374" t="s">
        <v>786</v>
      </c>
      <c r="M962" s="350"/>
      <c r="N962" s="354"/>
      <c r="Q962" s="360"/>
      <c r="R962" s="360"/>
      <c r="S962" s="360"/>
    </row>
    <row r="963" customFormat="false" ht="12.8" hidden="false" customHeight="false" outlineLevel="0" collapsed="false">
      <c r="B963" s="364" t="n">
        <v>45020</v>
      </c>
      <c r="C963" s="355" t="n">
        <f aca="false">YEAR('LT records'!$B963)</f>
        <v>2023</v>
      </c>
      <c r="D963" s="356" t="str">
        <f aca="false">'LT records'!$C963&amp;"-"&amp;MONTH('LT records'!$B963)</f>
        <v>2023-4</v>
      </c>
      <c r="E963" s="357" t="s">
        <v>297</v>
      </c>
      <c r="F963" s="357"/>
      <c r="G963" s="358"/>
      <c r="H963" s="359" t="n">
        <v>0</v>
      </c>
      <c r="I963" s="360" t="n">
        <v>568.59</v>
      </c>
      <c r="J963" s="340"/>
      <c r="K963" s="340"/>
      <c r="L963" s="365" t="s">
        <v>40</v>
      </c>
      <c r="M963" s="350"/>
      <c r="N963" s="354"/>
      <c r="Q963" s="360"/>
      <c r="R963" s="360"/>
      <c r="S963" s="360"/>
    </row>
    <row r="964" customFormat="false" ht="12.8" hidden="false" customHeight="false" outlineLevel="0" collapsed="false">
      <c r="B964" s="364" t="n">
        <v>45036</v>
      </c>
      <c r="C964" s="355" t="n">
        <f aca="false">YEAR('LT records'!$B964)</f>
        <v>2023</v>
      </c>
      <c r="D964" s="356" t="str">
        <f aca="false">'LT records'!$C964&amp;"-"&amp;MONTH('LT records'!$B964)</f>
        <v>2023-4</v>
      </c>
      <c r="E964" s="357" t="s">
        <v>14</v>
      </c>
      <c r="F964" s="357"/>
      <c r="G964" s="358"/>
      <c r="H964" s="359" t="n">
        <f aca="false">-2003+1350+204-65+50</f>
        <v>-464</v>
      </c>
      <c r="I964" s="360" t="n">
        <f aca="false">3.22+0.22+3.07+5.2+1.2+1.2</f>
        <v>14.11</v>
      </c>
      <c r="J964" s="340"/>
      <c r="K964" s="340"/>
      <c r="L964" s="365" t="s">
        <v>783</v>
      </c>
      <c r="M964" s="350"/>
      <c r="N964" s="354"/>
      <c r="Q964" s="360"/>
      <c r="R964" s="360"/>
      <c r="S964" s="360"/>
    </row>
    <row r="965" customFormat="false" ht="12.8" hidden="false" customHeight="false" outlineLevel="0" collapsed="false">
      <c r="B965" s="364" t="n">
        <v>45031</v>
      </c>
      <c r="C965" s="355" t="n">
        <f aca="false">YEAR('LT records'!$B965)</f>
        <v>2023</v>
      </c>
      <c r="D965" s="356" t="str">
        <f aca="false">'LT records'!$C965&amp;"-"&amp;MONTH('LT records'!$B965)</f>
        <v>2023-4</v>
      </c>
      <c r="E965" s="357" t="s">
        <v>311</v>
      </c>
      <c r="F965" s="357"/>
      <c r="G965" s="358"/>
      <c r="H965" s="359" t="n">
        <v>0</v>
      </c>
      <c r="I965" s="360"/>
      <c r="J965" s="340"/>
      <c r="K965" s="340"/>
      <c r="L965" s="365" t="s">
        <v>773</v>
      </c>
      <c r="M965" s="350"/>
      <c r="N965" s="354"/>
      <c r="Q965" s="360"/>
      <c r="R965" s="360"/>
      <c r="S965" s="360"/>
    </row>
    <row r="966" customFormat="false" ht="12.8" hidden="false" customHeight="false" outlineLevel="0" collapsed="false">
      <c r="B966" s="364" t="n">
        <v>45041</v>
      </c>
      <c r="C966" s="355" t="n">
        <f aca="false">YEAR('LT records'!$B966)</f>
        <v>2023</v>
      </c>
      <c r="D966" s="356" t="str">
        <f aca="false">'LT records'!$C966&amp;"-"&amp;MONTH('LT records'!$B966)</f>
        <v>2023-4</v>
      </c>
      <c r="E966" s="324" t="s">
        <v>318</v>
      </c>
      <c r="F966" s="357"/>
      <c r="G966" s="358"/>
      <c r="H966" s="359" t="n">
        <v>150</v>
      </c>
      <c r="I966" s="360"/>
      <c r="J966" s="340"/>
      <c r="K966" s="340"/>
      <c r="L966" s="341" t="s">
        <v>764</v>
      </c>
      <c r="M966" s="350"/>
      <c r="N966" s="354"/>
      <c r="Q966" s="360"/>
      <c r="R966" s="360"/>
      <c r="S966" s="360"/>
    </row>
    <row r="967" customFormat="false" ht="12.8" hidden="false" customHeight="false" outlineLevel="0" collapsed="false">
      <c r="B967" s="366"/>
      <c r="C967" s="367"/>
      <c r="D967" s="368"/>
      <c r="E967" s="369"/>
      <c r="F967" s="369"/>
      <c r="G967" s="370"/>
      <c r="H967" s="371" t="n">
        <v>0</v>
      </c>
      <c r="I967" s="372"/>
      <c r="J967" s="373"/>
      <c r="K967" s="373"/>
      <c r="L967" s="374" t="s">
        <v>787</v>
      </c>
      <c r="M967" s="350"/>
      <c r="N967" s="354"/>
      <c r="Q967" s="360"/>
      <c r="R967" s="360"/>
      <c r="S967" s="360"/>
    </row>
    <row r="968" customFormat="false" ht="12.8" hidden="false" customHeight="false" outlineLevel="0" collapsed="false">
      <c r="B968" s="364" t="n">
        <v>45050</v>
      </c>
      <c r="C968" s="355" t="n">
        <f aca="false">YEAR('LT records'!$B968)</f>
        <v>2023</v>
      </c>
      <c r="D968" s="356" t="str">
        <f aca="false">'LT records'!$C968&amp;"-"&amp;MONTH('LT records'!$B968)</f>
        <v>2023-5</v>
      </c>
      <c r="E968" s="357" t="s">
        <v>298</v>
      </c>
      <c r="F968" s="357"/>
      <c r="G968" s="358"/>
      <c r="H968" s="359" t="n">
        <v>0</v>
      </c>
      <c r="I968" s="360" t="n">
        <f aca="false">461.92</f>
        <v>461.92</v>
      </c>
      <c r="J968" s="340"/>
      <c r="K968" s="340"/>
      <c r="L968" s="365" t="s">
        <v>40</v>
      </c>
      <c r="M968" s="350"/>
      <c r="N968" s="354"/>
      <c r="Q968" s="360"/>
      <c r="R968" s="360"/>
      <c r="S968" s="360"/>
    </row>
    <row r="969" customFormat="false" ht="12.8" hidden="false" customHeight="false" outlineLevel="0" collapsed="false">
      <c r="B969" s="364" t="n">
        <v>45077</v>
      </c>
      <c r="C969" s="355" t="n">
        <f aca="false">YEAR('LT records'!$B969)</f>
        <v>2023</v>
      </c>
      <c r="D969" s="356" t="str">
        <f aca="false">'LT records'!$C969&amp;"-"&amp;MONTH('LT records'!$B969)</f>
        <v>2023-5</v>
      </c>
      <c r="E969" s="357" t="s">
        <v>14</v>
      </c>
      <c r="F969" s="357"/>
      <c r="G969" s="358"/>
      <c r="H969" s="359" t="n">
        <f aca="false">-2003+1150-100+13-100+33-65+50</f>
        <v>-1022</v>
      </c>
      <c r="I969" s="360" t="n">
        <f aca="false">1.6+0.93+1.06+0.29+3.4+0.57</f>
        <v>7.85</v>
      </c>
      <c r="J969" s="340"/>
      <c r="K969" s="340"/>
      <c r="L969" s="365" t="s">
        <v>783</v>
      </c>
      <c r="M969" s="350"/>
      <c r="N969" s="354"/>
      <c r="Q969" s="360"/>
      <c r="R969" s="360"/>
      <c r="S969" s="360"/>
    </row>
    <row r="970" customFormat="false" ht="12.8" hidden="false" customHeight="false" outlineLevel="0" collapsed="false">
      <c r="B970" s="364" t="n">
        <v>45056</v>
      </c>
      <c r="C970" s="355" t="n">
        <f aca="false">YEAR('LT records'!$B970)</f>
        <v>2023</v>
      </c>
      <c r="D970" s="356" t="str">
        <f aca="false">'LT records'!$C970&amp;"-"&amp;MONTH('LT records'!$B970)</f>
        <v>2023-5</v>
      </c>
      <c r="E970" s="357" t="s">
        <v>311</v>
      </c>
      <c r="F970" s="357"/>
      <c r="G970" s="358"/>
      <c r="H970" s="359" t="n">
        <f aca="false">700</f>
        <v>700</v>
      </c>
      <c r="I970" s="360"/>
      <c r="J970" s="340"/>
      <c r="K970" s="340"/>
      <c r="L970" s="365" t="s">
        <v>773</v>
      </c>
      <c r="M970" s="350"/>
      <c r="N970" s="354"/>
      <c r="Q970" s="360"/>
      <c r="R970" s="360"/>
      <c r="S970" s="360"/>
    </row>
    <row r="971" customFormat="false" ht="12.8" hidden="false" customHeight="false" outlineLevel="0" collapsed="false">
      <c r="B971" s="364" t="n">
        <v>45071</v>
      </c>
      <c r="C971" s="355" t="n">
        <f aca="false">YEAR('LT records'!$B971)</f>
        <v>2023</v>
      </c>
      <c r="D971" s="356" t="str">
        <f aca="false">'LT records'!$C971&amp;"-"&amp;MONTH('LT records'!$B971)</f>
        <v>2023-5</v>
      </c>
      <c r="E971" s="324" t="s">
        <v>318</v>
      </c>
      <c r="F971" s="357"/>
      <c r="G971" s="358"/>
      <c r="H971" s="359" t="n">
        <v>150</v>
      </c>
      <c r="I971" s="360"/>
      <c r="J971" s="340"/>
      <c r="K971" s="340"/>
      <c r="L971" s="341" t="s">
        <v>764</v>
      </c>
      <c r="M971" s="350"/>
      <c r="N971" s="354"/>
      <c r="Q971" s="360"/>
      <c r="R971" s="360"/>
      <c r="S971" s="360"/>
    </row>
    <row r="972" customFormat="false" ht="12.8" hidden="false" customHeight="false" outlineLevel="0" collapsed="false">
      <c r="B972" s="366"/>
      <c r="C972" s="367"/>
      <c r="D972" s="368"/>
      <c r="E972" s="369"/>
      <c r="F972" s="369"/>
      <c r="G972" s="370"/>
      <c r="H972" s="371" t="n">
        <v>0</v>
      </c>
      <c r="I972" s="372"/>
      <c r="J972" s="373"/>
      <c r="K972" s="373"/>
      <c r="L972" s="374" t="s">
        <v>788</v>
      </c>
      <c r="M972" s="350"/>
      <c r="N972" s="354"/>
      <c r="Q972" s="360"/>
      <c r="R972" s="360"/>
      <c r="S972" s="360"/>
    </row>
    <row r="973" customFormat="false" ht="12.8" hidden="false" customHeight="false" outlineLevel="0" collapsed="false">
      <c r="B973" s="364" t="n">
        <v>45083</v>
      </c>
      <c r="C973" s="355" t="n">
        <f aca="false">YEAR('LT records'!$B973)</f>
        <v>2023</v>
      </c>
      <c r="D973" s="356" t="str">
        <f aca="false">'LT records'!$C973&amp;"-"&amp;MONTH('LT records'!$B973)</f>
        <v>2023-6</v>
      </c>
      <c r="E973" s="357" t="s">
        <v>300</v>
      </c>
      <c r="F973" s="357"/>
      <c r="G973" s="358"/>
      <c r="H973" s="359" t="n">
        <v>0</v>
      </c>
      <c r="I973" s="360" t="n">
        <v>585.24</v>
      </c>
      <c r="J973" s="340"/>
      <c r="K973" s="340"/>
      <c r="L973" s="365" t="s">
        <v>40</v>
      </c>
      <c r="M973" s="350"/>
      <c r="N973" s="354"/>
      <c r="Q973" s="360"/>
      <c r="R973" s="360"/>
      <c r="S973" s="360"/>
    </row>
    <row r="974" customFormat="false" ht="12.8" hidden="false" customHeight="false" outlineLevel="0" collapsed="false">
      <c r="B974" s="364" t="n">
        <v>45107</v>
      </c>
      <c r="C974" s="355" t="n">
        <f aca="false">YEAR('LT records'!$B974)</f>
        <v>2023</v>
      </c>
      <c r="D974" s="356" t="str">
        <f aca="false">'LT records'!$C974&amp;"-"&amp;MONTH('LT records'!$B974)</f>
        <v>2023-6</v>
      </c>
      <c r="E974" s="357" t="s">
        <v>14</v>
      </c>
      <c r="F974" s="357"/>
      <c r="G974" s="358"/>
      <c r="H974" s="359" t="n">
        <f aca="false">-2003+1850-135-92-17-88-18-40+40-154-90+50-1500</f>
        <v>-2197</v>
      </c>
      <c r="I974" s="360" t="n">
        <f aca="false">1.4+0.16+0.48+1.02+0.89+0.88+1.4</f>
        <v>6.23</v>
      </c>
      <c r="J974" s="340"/>
      <c r="K974" s="340"/>
      <c r="L974" s="365" t="s">
        <v>783</v>
      </c>
      <c r="M974" s="350"/>
      <c r="N974" s="354"/>
      <c r="Q974" s="360"/>
      <c r="R974" s="360"/>
      <c r="S974" s="360"/>
    </row>
    <row r="975" customFormat="false" ht="12.8" hidden="false" customHeight="false" outlineLevel="0" collapsed="false">
      <c r="B975" s="364" t="n">
        <v>45087</v>
      </c>
      <c r="C975" s="355" t="n">
        <f aca="false">YEAR('LT records'!$B975)</f>
        <v>2023</v>
      </c>
      <c r="D975" s="356" t="str">
        <f aca="false">'LT records'!$C975&amp;"-"&amp;MONTH('LT records'!$B975)</f>
        <v>2023-6</v>
      </c>
      <c r="E975" s="357" t="s">
        <v>311</v>
      </c>
      <c r="F975" s="357"/>
      <c r="G975" s="358"/>
      <c r="H975" s="359" t="n">
        <f aca="false">641</f>
        <v>641</v>
      </c>
      <c r="I975" s="360"/>
      <c r="J975" s="340"/>
      <c r="K975" s="340"/>
      <c r="L975" s="365" t="s">
        <v>773</v>
      </c>
      <c r="M975" s="350"/>
      <c r="N975" s="354"/>
      <c r="Q975" s="378"/>
      <c r="R975" s="360"/>
      <c r="S975" s="360"/>
    </row>
    <row r="976" customFormat="false" ht="12.8" hidden="false" customHeight="false" outlineLevel="0" collapsed="false">
      <c r="B976" s="364" t="n">
        <v>45102</v>
      </c>
      <c r="C976" s="355" t="n">
        <f aca="false">YEAR('LT records'!$B976)</f>
        <v>2023</v>
      </c>
      <c r="D976" s="356" t="str">
        <f aca="false">'LT records'!$C976&amp;"-"&amp;MONTH('LT records'!$B976)</f>
        <v>2023-6</v>
      </c>
      <c r="E976" s="324" t="s">
        <v>318</v>
      </c>
      <c r="F976" s="357"/>
      <c r="G976" s="358"/>
      <c r="H976" s="359" t="n">
        <v>150</v>
      </c>
      <c r="I976" s="360"/>
      <c r="J976" s="340"/>
      <c r="K976" s="340"/>
      <c r="L976" s="341" t="s">
        <v>764</v>
      </c>
      <c r="M976" s="350"/>
      <c r="N976" s="354"/>
      <c r="Q976" s="360"/>
      <c r="R976" s="360"/>
      <c r="S976" s="360"/>
    </row>
    <row r="977" customFormat="false" ht="12.8" hidden="false" customHeight="false" outlineLevel="0" collapsed="false">
      <c r="B977" s="366"/>
      <c r="C977" s="367"/>
      <c r="D977" s="368"/>
      <c r="E977" s="369"/>
      <c r="F977" s="369"/>
      <c r="G977" s="370"/>
      <c r="H977" s="371" t="n">
        <v>0</v>
      </c>
      <c r="I977" s="372"/>
      <c r="J977" s="373"/>
      <c r="K977" s="373"/>
      <c r="L977" s="374" t="s">
        <v>789</v>
      </c>
      <c r="M977" s="350"/>
      <c r="N977" s="354"/>
      <c r="P977" s="0"/>
      <c r="Q977" s="0"/>
      <c r="R977" s="0"/>
      <c r="S977" s="0"/>
    </row>
    <row r="978" customFormat="false" ht="12.8" hidden="false" customHeight="false" outlineLevel="0" collapsed="false">
      <c r="B978" s="364" t="n">
        <v>45112</v>
      </c>
      <c r="C978" s="355" t="n">
        <f aca="false">YEAR('LT records'!$B978)</f>
        <v>2023</v>
      </c>
      <c r="D978" s="356" t="str">
        <f aca="false">'LT records'!$C978&amp;"-"&amp;MONTH('LT records'!$B978)</f>
        <v>2023-7</v>
      </c>
      <c r="E978" s="357" t="s">
        <v>301</v>
      </c>
      <c r="F978" s="357"/>
      <c r="G978" s="358"/>
      <c r="H978" s="359" t="n">
        <v>0</v>
      </c>
      <c r="I978" s="360" t="n">
        <v>835.76</v>
      </c>
      <c r="J978" s="340"/>
      <c r="K978" s="340"/>
      <c r="L978" s="365" t="s">
        <v>40</v>
      </c>
      <c r="M978" s="350"/>
      <c r="N978" s="354"/>
      <c r="P978" s="0"/>
      <c r="Q978" s="0"/>
      <c r="R978" s="0"/>
      <c r="S978" s="0"/>
    </row>
    <row r="979" customFormat="false" ht="12.8" hidden="false" customHeight="false" outlineLevel="0" collapsed="false">
      <c r="B979" s="364" t="n">
        <v>45137</v>
      </c>
      <c r="C979" s="355" t="n">
        <f aca="false">YEAR('LT records'!$B979)</f>
        <v>2023</v>
      </c>
      <c r="D979" s="356" t="str">
        <f aca="false">'LT records'!$C979&amp;"-"&amp;MONTH('LT records'!$B979)</f>
        <v>2023-7</v>
      </c>
      <c r="E979" s="357" t="s">
        <v>14</v>
      </c>
      <c r="F979" s="357"/>
      <c r="G979" s="358"/>
      <c r="H979" s="359" t="n">
        <f aca="false">1001-503-95-54+194</f>
        <v>543</v>
      </c>
      <c r="I979" s="360" t="n">
        <f aca="false">1.19+0.01+0.39+1.05+0.3+0.18</f>
        <v>3.12</v>
      </c>
      <c r="J979" s="340"/>
      <c r="K979" s="340"/>
      <c r="L979" s="365" t="s">
        <v>783</v>
      </c>
      <c r="M979" s="350"/>
      <c r="N979" s="354"/>
      <c r="P979" s="0"/>
      <c r="Q979" s="0"/>
      <c r="R979" s="0"/>
      <c r="S979" s="0"/>
    </row>
    <row r="980" customFormat="false" ht="12.8" hidden="false" customHeight="false" outlineLevel="0" collapsed="false">
      <c r="B980" s="364" t="n">
        <v>45124</v>
      </c>
      <c r="C980" s="355" t="n">
        <f aca="false">YEAR('LT records'!$B980)</f>
        <v>2023</v>
      </c>
      <c r="D980" s="356" t="str">
        <f aca="false">'LT records'!$C980&amp;"-"&amp;MONTH('LT records'!$B980)</f>
        <v>2023-7</v>
      </c>
      <c r="E980" s="357" t="s">
        <v>311</v>
      </c>
      <c r="F980" s="357"/>
      <c r="G980" s="358"/>
      <c r="H980" s="359" t="n">
        <v>690</v>
      </c>
      <c r="I980" s="360"/>
      <c r="J980" s="340"/>
      <c r="K980" s="340"/>
      <c r="L980" s="365" t="s">
        <v>773</v>
      </c>
      <c r="M980" s="350"/>
      <c r="N980" s="354"/>
      <c r="Q980" s="360"/>
      <c r="R980" s="360"/>
      <c r="S980" s="360"/>
    </row>
    <row r="981" customFormat="false" ht="12.8" hidden="false" customHeight="false" outlineLevel="0" collapsed="false">
      <c r="B981" s="364" t="n">
        <v>45109</v>
      </c>
      <c r="C981" s="355" t="n">
        <f aca="false">YEAR('LT records'!$B981)</f>
        <v>2023</v>
      </c>
      <c r="D981" s="356" t="str">
        <f aca="false">'LT records'!$C981&amp;"-"&amp;MONTH('LT records'!$B981)</f>
        <v>2023-7</v>
      </c>
      <c r="E981" s="324" t="s">
        <v>318</v>
      </c>
      <c r="F981" s="357"/>
      <c r="G981" s="358"/>
      <c r="H981" s="359" t="n">
        <v>150</v>
      </c>
      <c r="I981" s="360"/>
      <c r="J981" s="340"/>
      <c r="K981" s="340"/>
      <c r="L981" s="341" t="s">
        <v>764</v>
      </c>
      <c r="M981" s="350"/>
      <c r="N981" s="354"/>
      <c r="Q981" s="360"/>
      <c r="R981" s="360"/>
      <c r="S981" s="360"/>
    </row>
    <row r="982" customFormat="false" ht="12.8" hidden="false" customHeight="false" outlineLevel="0" collapsed="false">
      <c r="B982" s="379"/>
      <c r="C982" s="380"/>
      <c r="D982" s="381"/>
      <c r="E982" s="382"/>
      <c r="F982" s="382"/>
      <c r="G982" s="383"/>
      <c r="H982" s="384" t="n">
        <v>0</v>
      </c>
      <c r="I982" s="385"/>
      <c r="J982" s="386"/>
      <c r="K982" s="386"/>
      <c r="L982" s="387" t="s">
        <v>790</v>
      </c>
      <c r="M982" s="350"/>
      <c r="N982" s="354"/>
      <c r="Q982" s="388" t="s">
        <v>791</v>
      </c>
      <c r="R982" s="360"/>
      <c r="S982" s="360"/>
    </row>
    <row r="983" customFormat="false" ht="12.8" hidden="false" customHeight="false" outlineLevel="0" collapsed="false">
      <c r="B983" s="364" t="n">
        <v>45141</v>
      </c>
      <c r="C983" s="355" t="n">
        <f aca="false">YEAR('LT records'!$B983)</f>
        <v>2023</v>
      </c>
      <c r="D983" s="356" t="str">
        <f aca="false">'LT records'!$C983&amp;"-"&amp;MONTH('LT records'!$B983)</f>
        <v>2023-8</v>
      </c>
      <c r="E983" s="357" t="s">
        <v>302</v>
      </c>
      <c r="F983" s="357"/>
      <c r="G983" s="358"/>
      <c r="H983" s="359"/>
      <c r="I983" s="360" t="n">
        <v>823.91</v>
      </c>
      <c r="J983" s="340"/>
      <c r="K983" s="340"/>
      <c r="L983" s="365" t="s">
        <v>40</v>
      </c>
      <c r="M983" s="350"/>
      <c r="N983" s="354"/>
      <c r="P983" s="389"/>
      <c r="Q983" s="390" t="n">
        <v>15007.54</v>
      </c>
      <c r="R983" s="360" t="s">
        <v>792</v>
      </c>
      <c r="S983" s="360" t="s">
        <v>9</v>
      </c>
    </row>
    <row r="984" customFormat="false" ht="12.8" hidden="false" customHeight="false" outlineLevel="0" collapsed="false">
      <c r="B984" s="364" t="n">
        <v>45168</v>
      </c>
      <c r="C984" s="355" t="n">
        <f aca="false">YEAR('LT records'!$B984)</f>
        <v>2023</v>
      </c>
      <c r="D984" s="356" t="str">
        <f aca="false">'LT records'!$C984&amp;"-"&amp;MONTH('LT records'!$B984)</f>
        <v>2023-8</v>
      </c>
      <c r="E984" s="391" t="s">
        <v>14</v>
      </c>
      <c r="F984" s="357"/>
      <c r="G984" s="358"/>
      <c r="H984" s="359" t="n">
        <f aca="false">-100-100-110-82-25-100+19482+50-2000</f>
        <v>17015</v>
      </c>
      <c r="I984" s="360" t="n">
        <f aca="false">0.4+0.12+0.13</f>
        <v>0.65</v>
      </c>
      <c r="J984" s="340"/>
      <c r="K984" s="340"/>
      <c r="L984" s="365" t="s">
        <v>783</v>
      </c>
      <c r="M984" s="350"/>
      <c r="N984" s="354"/>
      <c r="P984" s="389"/>
      <c r="Q984" s="390" t="n">
        <v>15831.45</v>
      </c>
      <c r="R984" s="360" t="s">
        <v>793</v>
      </c>
      <c r="S984" s="392" t="n">
        <f aca="false">Q984-Q983</f>
        <v>823.91</v>
      </c>
    </row>
    <row r="985" customFormat="false" ht="12.8" hidden="false" customHeight="false" outlineLevel="0" collapsed="false">
      <c r="B985" s="364" t="n">
        <v>45153</v>
      </c>
      <c r="C985" s="355" t="n">
        <f aca="false">YEAR('LT records'!$B985)</f>
        <v>2023</v>
      </c>
      <c r="D985" s="356" t="str">
        <f aca="false">'LT records'!$C985&amp;"-"&amp;MONTH('LT records'!$B985)</f>
        <v>2023-8</v>
      </c>
      <c r="E985" s="357" t="s">
        <v>311</v>
      </c>
      <c r="F985" s="357"/>
      <c r="G985" s="358"/>
      <c r="H985" s="359"/>
      <c r="I985" s="360"/>
      <c r="J985" s="340"/>
      <c r="K985" s="340"/>
      <c r="L985" s="365" t="s">
        <v>773</v>
      </c>
      <c r="M985" s="350"/>
      <c r="N985" s="354"/>
      <c r="Q985" s="360"/>
      <c r="R985" s="360"/>
      <c r="S985" s="360"/>
    </row>
    <row r="986" customFormat="false" ht="12.8" hidden="false" customHeight="false" outlineLevel="0" collapsed="false">
      <c r="B986" s="364" t="n">
        <v>45163</v>
      </c>
      <c r="C986" s="355" t="n">
        <f aca="false">YEAR('LT records'!$B986)</f>
        <v>2023</v>
      </c>
      <c r="D986" s="356" t="str">
        <f aca="false">'LT records'!$C986&amp;"-"&amp;MONTH('LT records'!$B986)</f>
        <v>2023-8</v>
      </c>
      <c r="E986" s="324" t="s">
        <v>318</v>
      </c>
      <c r="F986" s="357"/>
      <c r="G986" s="358"/>
      <c r="H986" s="359"/>
      <c r="I986" s="360"/>
      <c r="J986" s="340"/>
      <c r="K986" s="340"/>
      <c r="L986" s="341" t="s">
        <v>764</v>
      </c>
      <c r="M986" s="350"/>
      <c r="N986" s="354"/>
      <c r="Q986" s="360"/>
      <c r="R986" s="360"/>
      <c r="S986" s="360"/>
    </row>
    <row r="987" customFormat="false" ht="12.8" hidden="false" customHeight="false" outlineLevel="0" collapsed="false">
      <c r="B987" s="393"/>
      <c r="C987" s="394"/>
      <c r="D987" s="395"/>
      <c r="E987" s="396"/>
      <c r="F987" s="396"/>
      <c r="G987" s="397"/>
      <c r="H987" s="398" t="n">
        <v>0</v>
      </c>
      <c r="I987" s="399"/>
      <c r="J987" s="400"/>
      <c r="K987" s="400"/>
      <c r="L987" s="401" t="s">
        <v>794</v>
      </c>
      <c r="M987" s="350"/>
      <c r="N987" s="354"/>
      <c r="Q987" s="360"/>
      <c r="R987" s="360"/>
      <c r="S987" s="360"/>
    </row>
    <row r="988" customFormat="false" ht="12.8" hidden="false" customHeight="false" outlineLevel="0" collapsed="false">
      <c r="B988" s="364"/>
      <c r="C988" s="355" t="n">
        <f aca="false">YEAR('LT records'!$B988)</f>
        <v>1899</v>
      </c>
      <c r="D988" s="356" t="str">
        <f aca="false">'LT records'!$C988&amp;"-"&amp;MONTH('LT records'!$B988)</f>
        <v>1899-12</v>
      </c>
      <c r="E988" s="357"/>
      <c r="F988" s="357"/>
      <c r="G988" s="358"/>
      <c r="H988" s="359" t="n">
        <v>0</v>
      </c>
      <c r="I988" s="360"/>
      <c r="J988" s="340"/>
      <c r="K988" s="340"/>
      <c r="L988" s="365"/>
      <c r="M988" s="350"/>
      <c r="N988" s="354"/>
      <c r="Q988" s="360"/>
      <c r="R988" s="360"/>
      <c r="S988" s="360"/>
    </row>
    <row r="989" customFormat="false" ht="12.8" hidden="false" customHeight="false" outlineLevel="0" collapsed="false">
      <c r="B989" s="364"/>
      <c r="C989" s="355" t="n">
        <f aca="false">YEAR('LT records'!$B989)</f>
        <v>1899</v>
      </c>
      <c r="D989" s="356" t="str">
        <f aca="false">'LT records'!$C989&amp;"-"&amp;MONTH('LT records'!$B989)</f>
        <v>1899-12</v>
      </c>
      <c r="E989" s="357"/>
      <c r="F989" s="357"/>
      <c r="G989" s="358"/>
      <c r="H989" s="359" t="n">
        <v>0</v>
      </c>
      <c r="I989" s="360"/>
      <c r="J989" s="340"/>
      <c r="K989" s="340"/>
      <c r="L989" s="365"/>
      <c r="M989" s="350"/>
      <c r="N989" s="354"/>
      <c r="Q989" s="360"/>
      <c r="R989" s="360"/>
      <c r="S989" s="360"/>
    </row>
    <row r="990" customFormat="false" ht="12.8" hidden="false" customHeight="false" outlineLevel="0" collapsed="false">
      <c r="B990" s="364"/>
      <c r="C990" s="355" t="n">
        <f aca="false">YEAR('LT records'!$B990)</f>
        <v>1899</v>
      </c>
      <c r="D990" s="356" t="str">
        <f aca="false">'LT records'!$C990&amp;"-"&amp;MONTH('LT records'!$B990)</f>
        <v>1899-12</v>
      </c>
      <c r="E990" s="357"/>
      <c r="F990" s="357"/>
      <c r="G990" s="358"/>
      <c r="H990" s="359" t="n">
        <v>0</v>
      </c>
      <c r="I990" s="360"/>
      <c r="J990" s="340"/>
      <c r="K990" s="340"/>
      <c r="L990" s="365"/>
      <c r="M990" s="350"/>
      <c r="N990" s="354"/>
      <c r="Q990" s="360"/>
      <c r="R990" s="360"/>
      <c r="S990" s="360"/>
    </row>
    <row r="991" customFormat="false" ht="12.8" hidden="false" customHeight="false" outlineLevel="0" collapsed="false">
      <c r="B991" s="364"/>
      <c r="C991" s="355" t="n">
        <f aca="false">YEAR('LT records'!$B991)</f>
        <v>1899</v>
      </c>
      <c r="D991" s="356" t="str">
        <f aca="false">'LT records'!$C991&amp;"-"&amp;MONTH('LT records'!$B991)</f>
        <v>1899-12</v>
      </c>
      <c r="E991" s="357"/>
      <c r="F991" s="357"/>
      <c r="G991" s="358"/>
      <c r="H991" s="359" t="n">
        <v>0</v>
      </c>
      <c r="I991" s="360"/>
      <c r="J991" s="340"/>
      <c r="K991" s="340"/>
      <c r="L991" s="365"/>
      <c r="M991" s="350"/>
      <c r="N991" s="354"/>
      <c r="Q991" s="360"/>
      <c r="R991" s="360"/>
      <c r="S991" s="360"/>
    </row>
    <row r="992" customFormat="false" ht="12.8" hidden="false" customHeight="false" outlineLevel="0" collapsed="false">
      <c r="B992" s="393"/>
      <c r="C992" s="394"/>
      <c r="D992" s="395"/>
      <c r="E992" s="396"/>
      <c r="F992" s="396"/>
      <c r="G992" s="397"/>
      <c r="H992" s="398" t="n">
        <v>0</v>
      </c>
      <c r="I992" s="399"/>
      <c r="J992" s="400"/>
      <c r="K992" s="400"/>
      <c r="L992" s="401" t="s">
        <v>795</v>
      </c>
      <c r="M992" s="350"/>
      <c r="N992" s="354"/>
      <c r="Q992" s="360"/>
      <c r="R992" s="360"/>
      <c r="S992" s="360"/>
    </row>
    <row r="993" customFormat="false" ht="12.8" hidden="false" customHeight="false" outlineLevel="0" collapsed="false">
      <c r="B993" s="364"/>
      <c r="C993" s="355" t="n">
        <f aca="false">YEAR('LT records'!$B993)</f>
        <v>1899</v>
      </c>
      <c r="D993" s="356" t="str">
        <f aca="false">'LT records'!$C993&amp;"-"&amp;MONTH('LT records'!$B993)</f>
        <v>1899-12</v>
      </c>
      <c r="E993" s="357"/>
      <c r="F993" s="357"/>
      <c r="G993" s="358"/>
      <c r="H993" s="359" t="n">
        <v>0</v>
      </c>
      <c r="I993" s="360"/>
      <c r="J993" s="340"/>
      <c r="K993" s="340"/>
      <c r="L993" s="365"/>
      <c r="M993" s="350"/>
      <c r="N993" s="354"/>
      <c r="Q993" s="360"/>
      <c r="R993" s="360"/>
      <c r="S993" s="360"/>
    </row>
    <row r="994" customFormat="false" ht="12.8" hidden="false" customHeight="false" outlineLevel="0" collapsed="false">
      <c r="B994" s="364"/>
      <c r="C994" s="355" t="n">
        <f aca="false">YEAR('LT records'!$B994)</f>
        <v>1899</v>
      </c>
      <c r="D994" s="356" t="str">
        <f aca="false">'LT records'!$C994&amp;"-"&amp;MONTH('LT records'!$B994)</f>
        <v>1899-12</v>
      </c>
      <c r="E994" s="357"/>
      <c r="F994" s="357"/>
      <c r="G994" s="358"/>
      <c r="H994" s="359" t="n">
        <v>0</v>
      </c>
      <c r="I994" s="360"/>
      <c r="J994" s="340"/>
      <c r="K994" s="340"/>
      <c r="L994" s="365"/>
      <c r="M994" s="350"/>
      <c r="N994" s="354"/>
      <c r="Q994" s="360"/>
      <c r="R994" s="360"/>
      <c r="S994" s="360"/>
    </row>
    <row r="995" customFormat="false" ht="12.8" hidden="false" customHeight="false" outlineLevel="0" collapsed="false">
      <c r="B995" s="364"/>
      <c r="C995" s="355" t="n">
        <f aca="false">YEAR('LT records'!$B995)</f>
        <v>1899</v>
      </c>
      <c r="D995" s="356" t="str">
        <f aca="false">'LT records'!$C995&amp;"-"&amp;MONTH('LT records'!$B995)</f>
        <v>1899-12</v>
      </c>
      <c r="E995" s="357"/>
      <c r="F995" s="357"/>
      <c r="G995" s="358"/>
      <c r="H995" s="359" t="n">
        <v>0</v>
      </c>
      <c r="I995" s="360"/>
      <c r="J995" s="340"/>
      <c r="K995" s="340"/>
      <c r="L995" s="365"/>
      <c r="M995" s="350"/>
      <c r="N995" s="354"/>
      <c r="Q995" s="360"/>
      <c r="R995" s="360"/>
      <c r="S995" s="360"/>
    </row>
    <row r="996" customFormat="false" ht="12.8" hidden="false" customHeight="false" outlineLevel="0" collapsed="false">
      <c r="B996" s="364"/>
      <c r="C996" s="355" t="n">
        <f aca="false">YEAR('LT records'!$B996)</f>
        <v>1899</v>
      </c>
      <c r="D996" s="356" t="str">
        <f aca="false">'LT records'!$C996&amp;"-"&amp;MONTH('LT records'!$B996)</f>
        <v>1899-12</v>
      </c>
      <c r="E996" s="357"/>
      <c r="F996" s="357"/>
      <c r="G996" s="358"/>
      <c r="H996" s="359" t="n">
        <v>0</v>
      </c>
      <c r="I996" s="360"/>
      <c r="J996" s="340"/>
      <c r="K996" s="340"/>
      <c r="L996" s="365"/>
      <c r="M996" s="350"/>
      <c r="N996" s="354"/>
      <c r="Q996" s="360"/>
      <c r="R996" s="360"/>
      <c r="S996" s="360"/>
    </row>
    <row r="997" customFormat="false" ht="12.8" hidden="false" customHeight="false" outlineLevel="0" collapsed="false">
      <c r="B997" s="393"/>
      <c r="C997" s="394"/>
      <c r="D997" s="395"/>
      <c r="E997" s="396"/>
      <c r="F997" s="396"/>
      <c r="G997" s="397"/>
      <c r="H997" s="398" t="n">
        <v>0</v>
      </c>
      <c r="I997" s="399"/>
      <c r="J997" s="400"/>
      <c r="K997" s="400"/>
      <c r="L997" s="401" t="s">
        <v>796</v>
      </c>
      <c r="M997" s="350"/>
      <c r="N997" s="354"/>
      <c r="Q997" s="360"/>
      <c r="R997" s="360"/>
      <c r="S997" s="360"/>
    </row>
    <row r="998" customFormat="false" ht="12.8" hidden="false" customHeight="false" outlineLevel="0" collapsed="false">
      <c r="B998" s="364"/>
      <c r="C998" s="355" t="n">
        <f aca="false">YEAR('LT records'!$B998)</f>
        <v>1899</v>
      </c>
      <c r="D998" s="356" t="str">
        <f aca="false">'LT records'!$C998&amp;"-"&amp;MONTH('LT records'!$B998)</f>
        <v>1899-12</v>
      </c>
      <c r="E998" s="357"/>
      <c r="F998" s="357"/>
      <c r="G998" s="358"/>
      <c r="H998" s="359" t="n">
        <v>0</v>
      </c>
      <c r="I998" s="360"/>
      <c r="J998" s="340"/>
      <c r="K998" s="340"/>
      <c r="L998" s="365"/>
      <c r="M998" s="350"/>
      <c r="N998" s="354"/>
      <c r="Q998" s="360"/>
      <c r="R998" s="360"/>
      <c r="S998" s="360"/>
    </row>
    <row r="999" customFormat="false" ht="12.8" hidden="false" customHeight="false" outlineLevel="0" collapsed="false">
      <c r="B999" s="364"/>
      <c r="C999" s="355" t="n">
        <f aca="false">YEAR('LT records'!$B999)</f>
        <v>1899</v>
      </c>
      <c r="D999" s="356" t="str">
        <f aca="false">'LT records'!$C999&amp;"-"&amp;MONTH('LT records'!$B999)</f>
        <v>1899-12</v>
      </c>
      <c r="E999" s="357"/>
      <c r="F999" s="357"/>
      <c r="G999" s="358"/>
      <c r="H999" s="359" t="n">
        <v>0</v>
      </c>
      <c r="I999" s="360"/>
      <c r="J999" s="340"/>
      <c r="K999" s="340"/>
      <c r="L999" s="365"/>
      <c r="M999" s="350"/>
      <c r="N999" s="354"/>
      <c r="Q999" s="360"/>
      <c r="R999" s="360"/>
      <c r="S999" s="360"/>
    </row>
    <row r="1000" customFormat="false" ht="12.8" hidden="false" customHeight="false" outlineLevel="0" collapsed="false">
      <c r="B1000" s="364"/>
      <c r="C1000" s="355" t="n">
        <f aca="false">YEAR('LT records'!$B1000)</f>
        <v>1899</v>
      </c>
      <c r="D1000" s="356" t="str">
        <f aca="false">'LT records'!$C1000&amp;"-"&amp;MONTH('LT records'!$B1000)</f>
        <v>1899-12</v>
      </c>
      <c r="E1000" s="357"/>
      <c r="F1000" s="357"/>
      <c r="G1000" s="358"/>
      <c r="H1000" s="359" t="n">
        <v>0</v>
      </c>
      <c r="I1000" s="360"/>
      <c r="J1000" s="340"/>
      <c r="K1000" s="340"/>
      <c r="L1000" s="365"/>
      <c r="M1000" s="350"/>
      <c r="N1000" s="354"/>
      <c r="Q1000" s="360"/>
      <c r="R1000" s="360"/>
      <c r="S1000" s="360"/>
    </row>
    <row r="1001" customFormat="false" ht="12.8" hidden="false" customHeight="false" outlineLevel="0" collapsed="false">
      <c r="B1001" s="364"/>
      <c r="C1001" s="355" t="n">
        <f aca="false">YEAR('LT records'!$B1001)</f>
        <v>1899</v>
      </c>
      <c r="D1001" s="356" t="str">
        <f aca="false">'LT records'!$C1001&amp;"-"&amp;MONTH('LT records'!$B1001)</f>
        <v>1899-12</v>
      </c>
      <c r="E1001" s="357"/>
      <c r="F1001" s="357"/>
      <c r="G1001" s="358"/>
      <c r="H1001" s="359" t="n">
        <v>0</v>
      </c>
      <c r="I1001" s="360"/>
      <c r="J1001" s="340"/>
      <c r="K1001" s="340"/>
      <c r="L1001" s="365"/>
      <c r="M1001" s="350"/>
      <c r="N1001" s="354"/>
      <c r="Q1001" s="360"/>
      <c r="R1001" s="360"/>
      <c r="S1001" s="360"/>
    </row>
    <row r="1002" customFormat="false" ht="12.8" hidden="false" customHeight="false" outlineLevel="0" collapsed="false">
      <c r="B1002" s="364" t="n">
        <f aca="true">TODAY()</f>
        <v>45149</v>
      </c>
      <c r="E1002" s="402" t="s">
        <v>797</v>
      </c>
      <c r="F1002" s="403"/>
      <c r="G1002" s="403"/>
      <c r="H1002" s="404" t="n">
        <f aca="false">SUBTOTAL(109,'LT records'!$H$3:$H$1001)</f>
        <v>249761.341566</v>
      </c>
      <c r="I1002" s="404" t="n">
        <f aca="false">SUBTOTAL(109,'LT records'!$I$3:$I$1001)</f>
        <v>26658.37</v>
      </c>
      <c r="J1002" s="405"/>
      <c r="K1002" s="406"/>
      <c r="L1002" s="407" t="str">
        <f aca="false">"reprezentind un profit total de " &amp;TEXT(100*I1002/H1002,"0.0") &amp; " %"</f>
        <v>reprezentind un profit total de 10.7 %</v>
      </c>
      <c r="Q1002" s="360"/>
      <c r="R1002" s="360"/>
      <c r="S1002" s="360"/>
    </row>
    <row r="1003" customFormat="false" ht="12.8" hidden="false" customHeight="false" outlineLevel="0" collapsed="false">
      <c r="B1003" s="270"/>
      <c r="G1003" s="340"/>
      <c r="H1003" s="352"/>
      <c r="I1003" s="408"/>
      <c r="J1003" s="341"/>
      <c r="K1003" s="326"/>
      <c r="Q1003" s="360"/>
      <c r="R1003" s="360"/>
      <c r="S1003" s="360"/>
    </row>
    <row r="1004" customFormat="false" ht="12.8" hidden="false" customHeight="false" outlineLevel="0" collapsed="false">
      <c r="B1004" s="270"/>
      <c r="G1004" s="340"/>
      <c r="H1004" s="352"/>
      <c r="I1004" s="352"/>
      <c r="J1004" s="352"/>
      <c r="Q1004" s="360"/>
      <c r="R1004" s="360"/>
      <c r="S1004" s="360"/>
    </row>
    <row r="1005" customFormat="false" ht="12.8" hidden="false" customHeight="false" outlineLevel="0" collapsed="false">
      <c r="B1005" s="270"/>
      <c r="G1005" s="340"/>
      <c r="H1005" s="341"/>
      <c r="I1005" s="341"/>
      <c r="J1005" s="341"/>
      <c r="L1005" s="326"/>
      <c r="Q1005" s="360"/>
      <c r="R1005" s="360"/>
      <c r="S1005" s="360"/>
    </row>
    <row r="1006" customFormat="false" ht="12.8" hidden="false" customHeight="false" outlineLevel="0" collapsed="false">
      <c r="B1006" s="270"/>
      <c r="G1006" s="340"/>
      <c r="H1006" s="352"/>
      <c r="I1006" s="352"/>
      <c r="J1006" s="341"/>
    </row>
    <row r="1007" customFormat="false" ht="12.8" hidden="false" customHeight="false" outlineLevel="0" collapsed="false">
      <c r="B1007" s="270"/>
      <c r="G1007" s="340"/>
      <c r="H1007" s="341"/>
      <c r="I1007" s="341"/>
      <c r="J1007" s="341"/>
    </row>
    <row r="1008" customFormat="false" ht="12.8" hidden="false" customHeight="false" outlineLevel="0" collapsed="false">
      <c r="B1008" s="270"/>
      <c r="G1008" s="340"/>
      <c r="H1008" s="341"/>
      <c r="I1008" s="341"/>
      <c r="J1008" s="341"/>
    </row>
    <row r="1009" customFormat="false" ht="12.8" hidden="false" customHeight="false" outlineLevel="0" collapsed="false">
      <c r="B1009" s="270"/>
      <c r="G1009" s="340"/>
      <c r="H1009" s="341"/>
      <c r="I1009" s="341"/>
      <c r="J1009" s="341"/>
    </row>
    <row r="1010" customFormat="false" ht="12.8" hidden="false" customHeight="false" outlineLevel="0" collapsed="false">
      <c r="B1010" s="270"/>
      <c r="G1010" s="340"/>
      <c r="H1010" s="341"/>
      <c r="I1010" s="341"/>
      <c r="J1010" s="341"/>
    </row>
    <row r="1011" customFormat="false" ht="12.8" hidden="false" customHeight="false" outlineLevel="0" collapsed="false">
      <c r="B1011" s="270"/>
      <c r="G1011" s="340"/>
      <c r="H1011" s="341"/>
      <c r="I1011" s="341"/>
      <c r="J1011" s="341"/>
    </row>
    <row r="1012" customFormat="false" ht="12.8" hidden="false" customHeight="false" outlineLevel="0" collapsed="false">
      <c r="B1012" s="270"/>
      <c r="G1012" s="340"/>
      <c r="H1012" s="341"/>
      <c r="I1012" s="341"/>
      <c r="J1012" s="341"/>
    </row>
    <row r="1013" customFormat="false" ht="12.8" hidden="false" customHeight="false" outlineLevel="0" collapsed="false">
      <c r="B1013" s="270"/>
      <c r="G1013" s="340"/>
      <c r="H1013" s="341"/>
      <c r="I1013" s="341"/>
      <c r="J1013" s="341"/>
    </row>
    <row r="1014" customFormat="false" ht="12.8" hidden="false" customHeight="false" outlineLevel="0" collapsed="false">
      <c r="B1014" s="270"/>
      <c r="G1014" s="340"/>
      <c r="H1014" s="341"/>
      <c r="I1014" s="341"/>
      <c r="J1014" s="341"/>
    </row>
    <row r="1015" customFormat="false" ht="12.8" hidden="false" customHeight="false" outlineLevel="0" collapsed="false">
      <c r="B1015" s="270"/>
      <c r="G1015" s="340"/>
      <c r="H1015" s="341"/>
      <c r="I1015" s="341"/>
      <c r="J1015" s="341"/>
    </row>
    <row r="1016" customFormat="false" ht="12.8" hidden="false" customHeight="false" outlineLevel="0" collapsed="false">
      <c r="B1016" s="270"/>
      <c r="G1016" s="340"/>
      <c r="H1016" s="341"/>
      <c r="I1016" s="341"/>
      <c r="J1016" s="341"/>
    </row>
    <row r="1017" customFormat="false" ht="12.8" hidden="false" customHeight="false" outlineLevel="0" collapsed="false">
      <c r="B1017" s="270"/>
      <c r="G1017" s="340"/>
      <c r="H1017" s="341"/>
      <c r="I1017" s="341"/>
      <c r="J1017" s="341"/>
    </row>
    <row r="1018" customFormat="false" ht="12.8" hidden="false" customHeight="false" outlineLevel="0" collapsed="false">
      <c r="B1018" s="270"/>
      <c r="G1018" s="340"/>
      <c r="H1018" s="341"/>
      <c r="I1018" s="341"/>
      <c r="J1018" s="341"/>
    </row>
    <row r="1019" customFormat="false" ht="12.8" hidden="false" customHeight="false" outlineLevel="0" collapsed="false">
      <c r="B1019" s="270"/>
      <c r="G1019" s="340"/>
      <c r="H1019" s="341"/>
      <c r="I1019" s="341"/>
      <c r="J1019" s="341"/>
    </row>
    <row r="1020" customFormat="false" ht="12.8" hidden="false" customHeight="false" outlineLevel="0" collapsed="false">
      <c r="B1020" s="270"/>
      <c r="G1020" s="340"/>
      <c r="H1020" s="341"/>
      <c r="I1020" s="341"/>
      <c r="J1020" s="341"/>
    </row>
    <row r="1021" customFormat="false" ht="12.8" hidden="false" customHeight="false" outlineLevel="0" collapsed="false">
      <c r="B1021" s="270"/>
      <c r="G1021" s="340"/>
      <c r="H1021" s="341"/>
      <c r="I1021" s="341"/>
      <c r="J1021" s="341"/>
    </row>
    <row r="1022" customFormat="false" ht="12.8" hidden="false" customHeight="false" outlineLevel="0" collapsed="false">
      <c r="B1022" s="270"/>
      <c r="G1022" s="340"/>
      <c r="H1022" s="341"/>
      <c r="I1022" s="341"/>
      <c r="J1022" s="341"/>
    </row>
    <row r="1023" customFormat="false" ht="12.8" hidden="false" customHeight="false" outlineLevel="0" collapsed="false">
      <c r="B1023" s="270"/>
      <c r="G1023" s="340"/>
      <c r="H1023" s="341"/>
      <c r="I1023" s="341"/>
      <c r="J1023" s="341"/>
    </row>
    <row r="1024" customFormat="false" ht="12.8" hidden="false" customHeight="false" outlineLevel="0" collapsed="false">
      <c r="B1024" s="270"/>
      <c r="G1024" s="340"/>
      <c r="H1024" s="341"/>
      <c r="I1024" s="341"/>
      <c r="J1024" s="341"/>
    </row>
    <row r="1025" customFormat="false" ht="12.8" hidden="false" customHeight="false" outlineLevel="0" collapsed="false">
      <c r="B1025" s="270"/>
      <c r="G1025" s="340"/>
      <c r="H1025" s="341"/>
      <c r="I1025" s="341"/>
      <c r="J1025" s="341"/>
    </row>
    <row r="1026" customFormat="false" ht="12.8" hidden="false" customHeight="false" outlineLevel="0" collapsed="false">
      <c r="B1026" s="270"/>
      <c r="G1026" s="340"/>
      <c r="H1026" s="341"/>
      <c r="I1026" s="341"/>
      <c r="J1026" s="341"/>
    </row>
    <row r="1027" customFormat="false" ht="12.8" hidden="false" customHeight="false" outlineLevel="0" collapsed="false">
      <c r="B1027" s="270"/>
      <c r="G1027" s="340"/>
      <c r="H1027" s="341"/>
      <c r="I1027" s="341"/>
      <c r="J1027" s="341"/>
    </row>
    <row r="1028" customFormat="false" ht="12.8" hidden="false" customHeight="false" outlineLevel="0" collapsed="false">
      <c r="B1028" s="270"/>
      <c r="G1028" s="340"/>
      <c r="H1028" s="341"/>
      <c r="I1028" s="341"/>
      <c r="J1028" s="341"/>
    </row>
    <row r="1029" customFormat="false" ht="12.8" hidden="false" customHeight="false" outlineLevel="0" collapsed="false">
      <c r="B1029" s="270"/>
      <c r="G1029" s="340"/>
      <c r="H1029" s="341"/>
      <c r="I1029" s="341"/>
      <c r="J1029" s="341"/>
    </row>
  </sheetData>
  <autoFilter ref="B2:N1002"/>
  <dataValidations count="3">
    <dataValidation allowBlank="true" errorStyle="information" operator="equal" showDropDown="false" showErrorMessage="true" showInputMessage="false" sqref="G2:G1001" type="none">
      <formula1>0</formula1>
      <formula2>0</formula2>
    </dataValidation>
    <dataValidation allowBlank="true" errorStyle="stop" operator="equal" showDropDown="false" showErrorMessage="false" showInputMessage="false" sqref="E3:E1001" type="list">
      <formula1>'LT summary'!$B$3:$B$22</formula1>
      <formula2>0</formula2>
    </dataValidation>
    <dataValidation allowBlank="true" errorStyle="stop" operator="equal" showDropDown="false" showErrorMessage="true" showInputMessage="true" sqref="C1002:D1029" type="list">
      <formula1>#ref!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0000"/>
    <pageSetUpPr fitToPage="false"/>
  </sheetPr>
  <dimension ref="B5:AO25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I6" activeCellId="0" sqref="AI6"/>
    </sheetView>
  </sheetViews>
  <sheetFormatPr defaultColWidth="8.47265625" defaultRowHeight="12.8" zeroHeight="false" outlineLevelRow="0" outlineLevelCol="0"/>
  <cols>
    <col collapsed="false" customWidth="true" hidden="false" outlineLevel="0" max="1" min="1" style="55" width="9.83"/>
    <col collapsed="false" customWidth="true" hidden="false" outlineLevel="0" max="2" min="2" style="55" width="6.01"/>
    <col collapsed="false" customWidth="true" hidden="false" outlineLevel="0" max="3" min="3" style="409" width="11.99"/>
    <col collapsed="false" customWidth="true" hidden="false" outlineLevel="0" max="5" min="4" style="409" width="9.56"/>
    <col collapsed="false" customWidth="true" hidden="false" outlineLevel="0" max="6" min="6" style="409" width="10"/>
    <col collapsed="false" customWidth="true" hidden="false" outlineLevel="0" max="7" min="7" style="55" width="9.56"/>
    <col collapsed="false" customWidth="true" hidden="false" outlineLevel="0" max="10" min="8" style="55" width="10"/>
    <col collapsed="false" customWidth="true" hidden="false" outlineLevel="0" max="11" min="11" style="55" width="9.56"/>
    <col collapsed="false" customWidth="true" hidden="false" outlineLevel="0" max="16" min="12" style="55" width="10"/>
    <col collapsed="false" customWidth="true" hidden="false" outlineLevel="0" max="18" min="17" style="55" width="9.56"/>
    <col collapsed="false" customWidth="true" hidden="false" outlineLevel="0" max="20" min="19" style="55" width="10"/>
    <col collapsed="false" customWidth="true" hidden="false" outlineLevel="0" max="21" min="21" style="55" width="9"/>
    <col collapsed="false" customWidth="true" hidden="false" outlineLevel="0" max="22" min="22" style="55" width="9.83"/>
    <col collapsed="false" customWidth="true" hidden="false" outlineLevel="0" max="24" min="23" style="55" width="10.16"/>
    <col collapsed="false" customWidth="true" hidden="false" outlineLevel="0" max="33" min="25" style="55" width="9.56"/>
    <col collapsed="false" customWidth="true" hidden="false" outlineLevel="0" max="37" min="34" style="55" width="9.52"/>
    <col collapsed="false" customWidth="true" hidden="false" outlineLevel="0" max="39" min="39" style="55" width="10.16"/>
    <col collapsed="false" customWidth="true" hidden="false" outlineLevel="0" max="40" min="40" style="55" width="4.63"/>
    <col collapsed="false" customWidth="true" hidden="false" outlineLevel="0" max="41" min="41" style="55" width="20.89"/>
    <col collapsed="false" customWidth="false" hidden="false" outlineLevel="0" max="1024" min="65" style="55" width="8.46"/>
  </cols>
  <sheetData>
    <row r="5" customFormat="false" ht="12.8" hidden="false" customHeight="false" outlineLevel="0" collapsed="false">
      <c r="C5" s="410" t="s">
        <v>798</v>
      </c>
      <c r="D5" s="411" t="s">
        <v>799</v>
      </c>
      <c r="E5" s="411" t="s">
        <v>799</v>
      </c>
      <c r="F5" s="411" t="s">
        <v>799</v>
      </c>
      <c r="G5" s="411" t="s">
        <v>799</v>
      </c>
      <c r="H5" s="411" t="s">
        <v>799</v>
      </c>
      <c r="I5" s="411" t="s">
        <v>799</v>
      </c>
      <c r="J5" s="411" t="s">
        <v>799</v>
      </c>
      <c r="K5" s="411" t="s">
        <v>799</v>
      </c>
      <c r="L5" s="411" t="s">
        <v>799</v>
      </c>
      <c r="M5" s="411" t="s">
        <v>799</v>
      </c>
      <c r="N5" s="411" t="s">
        <v>799</v>
      </c>
      <c r="O5" s="411" t="s">
        <v>799</v>
      </c>
      <c r="P5" s="411" t="s">
        <v>799</v>
      </c>
      <c r="Q5" s="411" t="s">
        <v>799</v>
      </c>
      <c r="R5" s="411" t="s">
        <v>799</v>
      </c>
      <c r="S5" s="411" t="s">
        <v>799</v>
      </c>
      <c r="T5" s="411" t="s">
        <v>799</v>
      </c>
      <c r="U5" s="411" t="s">
        <v>799</v>
      </c>
      <c r="V5" s="411" t="s">
        <v>799</v>
      </c>
      <c r="W5" s="411" t="s">
        <v>799</v>
      </c>
      <c r="X5" s="411" t="s">
        <v>799</v>
      </c>
      <c r="Y5" s="411" t="s">
        <v>799</v>
      </c>
      <c r="Z5" s="411" t="s">
        <v>799</v>
      </c>
      <c r="AA5" s="411" t="s">
        <v>799</v>
      </c>
      <c r="AB5" s="411" t="s">
        <v>799</v>
      </c>
      <c r="AC5" s="411" t="s">
        <v>799</v>
      </c>
      <c r="AD5" s="411" t="s">
        <v>799</v>
      </c>
      <c r="AE5" s="411" t="s">
        <v>799</v>
      </c>
      <c r="AF5" s="411" t="s">
        <v>799</v>
      </c>
      <c r="AG5" s="411" t="s">
        <v>799</v>
      </c>
      <c r="AH5" s="411" t="s">
        <v>799</v>
      </c>
      <c r="AI5" s="411" t="s">
        <v>799</v>
      </c>
      <c r="AJ5" s="411" t="s">
        <v>799</v>
      </c>
      <c r="AK5" s="412" t="s">
        <v>799</v>
      </c>
    </row>
    <row r="6" s="413" customFormat="true" ht="12.8" hidden="false" customHeight="false" outlineLevel="0" collapsed="false">
      <c r="C6" s="414" t="s">
        <v>800</v>
      </c>
      <c r="D6" s="415" t="n">
        <v>38996</v>
      </c>
      <c r="E6" s="415" t="n">
        <v>39514</v>
      </c>
      <c r="F6" s="415" t="n">
        <v>39584</v>
      </c>
      <c r="G6" s="415" t="n">
        <v>39609</v>
      </c>
      <c r="H6" s="416" t="n">
        <v>39676</v>
      </c>
      <c r="I6" s="416" t="n">
        <v>39697</v>
      </c>
      <c r="J6" s="416" t="n">
        <v>39961</v>
      </c>
      <c r="K6" s="416" t="n">
        <v>40206</v>
      </c>
      <c r="L6" s="416" t="n">
        <v>40397</v>
      </c>
      <c r="M6" s="416" t="n">
        <v>40418</v>
      </c>
      <c r="N6" s="416" t="n">
        <v>40770</v>
      </c>
      <c r="O6" s="416" t="n">
        <v>41409</v>
      </c>
      <c r="P6" s="416" t="n">
        <v>41425</v>
      </c>
      <c r="Q6" s="416" t="n">
        <v>41452</v>
      </c>
      <c r="R6" s="416" t="n">
        <v>41562</v>
      </c>
      <c r="S6" s="416" t="n">
        <v>41673</v>
      </c>
      <c r="T6" s="417" t="n">
        <v>41849</v>
      </c>
      <c r="U6" s="417" t="n">
        <v>42132</v>
      </c>
      <c r="V6" s="417" t="n">
        <v>42415</v>
      </c>
      <c r="W6" s="417" t="n">
        <v>42505</v>
      </c>
      <c r="X6" s="417" t="n">
        <v>42882</v>
      </c>
      <c r="Y6" s="417" t="n">
        <v>42901</v>
      </c>
      <c r="Z6" s="417" t="n">
        <v>42911</v>
      </c>
      <c r="AA6" s="417" t="n">
        <v>42996</v>
      </c>
      <c r="AB6" s="417" t="n">
        <v>43266</v>
      </c>
      <c r="AC6" s="417" t="n">
        <v>43987</v>
      </c>
      <c r="AD6" s="417" t="n">
        <v>44087</v>
      </c>
      <c r="AE6" s="417" t="n">
        <v>44259</v>
      </c>
      <c r="AF6" s="417" t="n">
        <v>44319</v>
      </c>
      <c r="AG6" s="417" t="n">
        <v>44566</v>
      </c>
      <c r="AH6" s="417" t="n">
        <v>44638</v>
      </c>
      <c r="AI6" s="417"/>
      <c r="AJ6" s="417"/>
      <c r="AK6" s="418"/>
    </row>
    <row r="7" s="419" customFormat="true" ht="12.8" hidden="false" customHeight="false" outlineLevel="0" collapsed="false">
      <c r="C7" s="420" t="s">
        <v>801</v>
      </c>
      <c r="D7" s="421" t="n">
        <v>2</v>
      </c>
      <c r="E7" s="421" t="n">
        <v>3</v>
      </c>
      <c r="F7" s="421" t="n">
        <v>4</v>
      </c>
      <c r="G7" s="421" t="n">
        <v>5</v>
      </c>
      <c r="H7" s="421" t="n">
        <v>6</v>
      </c>
      <c r="I7" s="421" t="n">
        <v>7</v>
      </c>
      <c r="J7" s="421" t="n">
        <v>8</v>
      </c>
      <c r="K7" s="421" t="n">
        <v>9</v>
      </c>
      <c r="L7" s="421" t="n">
        <v>10</v>
      </c>
      <c r="M7" s="421" t="n">
        <v>11</v>
      </c>
      <c r="N7" s="421" t="n">
        <v>12</v>
      </c>
      <c r="O7" s="421" t="n">
        <v>13</v>
      </c>
      <c r="P7" s="421" t="n">
        <v>14</v>
      </c>
      <c r="Q7" s="421" t="n">
        <v>15</v>
      </c>
      <c r="R7" s="421" t="n">
        <v>16</v>
      </c>
      <c r="S7" s="421" t="n">
        <v>17</v>
      </c>
      <c r="T7" s="421" t="n">
        <v>18</v>
      </c>
      <c r="U7" s="421" t="n">
        <v>19</v>
      </c>
      <c r="V7" s="421" t="n">
        <v>20</v>
      </c>
      <c r="W7" s="421" t="n">
        <v>21</v>
      </c>
      <c r="X7" s="421" t="n">
        <v>22</v>
      </c>
      <c r="Y7" s="421" t="n">
        <v>23</v>
      </c>
      <c r="Z7" s="421" t="n">
        <v>24</v>
      </c>
      <c r="AA7" s="421" t="n">
        <v>25</v>
      </c>
      <c r="AB7" s="421" t="n">
        <v>26</v>
      </c>
      <c r="AC7" s="421" t="n">
        <v>27</v>
      </c>
      <c r="AD7" s="421" t="n">
        <v>28</v>
      </c>
      <c r="AE7" s="421" t="n">
        <v>29</v>
      </c>
      <c r="AF7" s="421" t="n">
        <v>30</v>
      </c>
      <c r="AG7" s="421" t="n">
        <v>31</v>
      </c>
      <c r="AH7" s="421" t="n">
        <v>32</v>
      </c>
      <c r="AI7" s="421" t="n">
        <v>33</v>
      </c>
      <c r="AJ7" s="421" t="n">
        <v>34</v>
      </c>
      <c r="AK7" s="422" t="n">
        <v>35</v>
      </c>
      <c r="AN7" s="423" t="s">
        <v>802</v>
      </c>
      <c r="AO7" s="424"/>
    </row>
    <row r="8" s="425" customFormat="true" ht="12.8" hidden="false" customHeight="false" outlineLevel="0" collapsed="false">
      <c r="B8" s="426" t="s">
        <v>803</v>
      </c>
      <c r="C8" s="427" t="n">
        <v>1</v>
      </c>
      <c r="D8" s="428" t="n">
        <v>50</v>
      </c>
      <c r="E8" s="428" t="n">
        <v>60</v>
      </c>
      <c r="F8" s="428" t="n">
        <v>90</v>
      </c>
      <c r="G8" s="428" t="n">
        <v>100</v>
      </c>
      <c r="H8" s="428" t="n">
        <f aca="false">G8+5</f>
        <v>105</v>
      </c>
      <c r="I8" s="428" t="n">
        <v>100</v>
      </c>
      <c r="J8" s="428" t="n">
        <v>130</v>
      </c>
      <c r="K8" s="428" t="n">
        <v>130</v>
      </c>
      <c r="L8" s="428" t="n">
        <v>250</v>
      </c>
      <c r="M8" s="428" t="n">
        <v>130</v>
      </c>
      <c r="N8" s="428" t="n">
        <v>150</v>
      </c>
      <c r="O8" s="428" t="n">
        <v>170</v>
      </c>
      <c r="P8" s="428" t="n">
        <v>160</v>
      </c>
      <c r="Q8" s="428" t="n">
        <v>150</v>
      </c>
      <c r="R8" s="428" t="n">
        <v>160</v>
      </c>
      <c r="S8" s="428" t="n">
        <v>150</v>
      </c>
      <c r="T8" s="425" t="n">
        <v>140</v>
      </c>
      <c r="U8" s="425" t="n">
        <v>140</v>
      </c>
      <c r="V8" s="425" t="n">
        <v>140</v>
      </c>
      <c r="W8" s="425" t="n">
        <v>130</v>
      </c>
      <c r="X8" s="425" t="n">
        <v>140</v>
      </c>
      <c r="Y8" s="425" t="n">
        <v>195</v>
      </c>
      <c r="Z8" s="425" t="n">
        <v>190</v>
      </c>
      <c r="AA8" s="425" t="n">
        <v>200</v>
      </c>
      <c r="AB8" s="425" t="n">
        <v>230</v>
      </c>
      <c r="AC8" s="425" t="n">
        <v>180</v>
      </c>
      <c r="AD8" s="425" t="n">
        <v>160</v>
      </c>
      <c r="AE8" s="425" t="n">
        <v>150</v>
      </c>
      <c r="AF8" s="425" t="n">
        <v>130</v>
      </c>
      <c r="AG8" s="425" t="n">
        <v>110</v>
      </c>
      <c r="AH8" s="425" t="n">
        <v>100</v>
      </c>
      <c r="AK8" s="429"/>
      <c r="AN8" s="423" t="s">
        <v>804</v>
      </c>
      <c r="AO8" s="430"/>
    </row>
    <row r="9" s="425" customFormat="true" ht="12.8" hidden="false" customHeight="false" outlineLevel="0" collapsed="false">
      <c r="B9" s="426" t="s">
        <v>805</v>
      </c>
      <c r="C9" s="427" t="n">
        <v>2</v>
      </c>
      <c r="D9" s="428" t="n">
        <v>50</v>
      </c>
      <c r="E9" s="428" t="n">
        <v>60</v>
      </c>
      <c r="F9" s="428" t="n">
        <v>90</v>
      </c>
      <c r="G9" s="428" t="n">
        <v>100</v>
      </c>
      <c r="H9" s="428" t="n">
        <f aca="false">G9+5</f>
        <v>105</v>
      </c>
      <c r="I9" s="428" t="n">
        <v>100</v>
      </c>
      <c r="J9" s="428" t="n">
        <v>130</v>
      </c>
      <c r="K9" s="428" t="n">
        <v>130</v>
      </c>
      <c r="L9" s="428" t="n">
        <v>250</v>
      </c>
      <c r="M9" s="428" t="n">
        <v>130</v>
      </c>
      <c r="N9" s="428" t="n">
        <v>150</v>
      </c>
      <c r="O9" s="428" t="n">
        <v>170</v>
      </c>
      <c r="P9" s="428" t="n">
        <v>160</v>
      </c>
      <c r="Q9" s="428" t="n">
        <v>150</v>
      </c>
      <c r="R9" s="428" t="n">
        <v>160</v>
      </c>
      <c r="S9" s="428" t="n">
        <v>150</v>
      </c>
      <c r="T9" s="425" t="n">
        <v>140</v>
      </c>
      <c r="U9" s="425" t="n">
        <v>140</v>
      </c>
      <c r="V9" s="425" t="n">
        <v>140</v>
      </c>
      <c r="W9" s="425" t="n">
        <v>130</v>
      </c>
      <c r="X9" s="425" t="n">
        <v>140</v>
      </c>
      <c r="Y9" s="425" t="n">
        <v>195</v>
      </c>
      <c r="Z9" s="425" t="n">
        <v>190</v>
      </c>
      <c r="AA9" s="425" t="n">
        <v>200</v>
      </c>
      <c r="AB9" s="425" t="n">
        <v>230</v>
      </c>
      <c r="AC9" s="425" t="n">
        <v>180</v>
      </c>
      <c r="AD9" s="425" t="n">
        <v>160</v>
      </c>
      <c r="AE9" s="425" t="n">
        <v>150</v>
      </c>
      <c r="AF9" s="425" t="n">
        <v>130</v>
      </c>
      <c r="AG9" s="425" t="n">
        <v>110</v>
      </c>
      <c r="AH9" s="425" t="n">
        <v>100</v>
      </c>
      <c r="AK9" s="429"/>
      <c r="AN9" s="423" t="s">
        <v>806</v>
      </c>
      <c r="AO9" s="431"/>
    </row>
    <row r="10" s="425" customFormat="true" ht="12.8" hidden="false" customHeight="false" outlineLevel="0" collapsed="false">
      <c r="B10" s="426" t="s">
        <v>807</v>
      </c>
      <c r="C10" s="427" t="n">
        <v>3</v>
      </c>
      <c r="D10" s="428" t="n">
        <v>50</v>
      </c>
      <c r="E10" s="428" t="n">
        <v>60</v>
      </c>
      <c r="F10" s="428" t="n">
        <v>90</v>
      </c>
      <c r="G10" s="428" t="n">
        <v>100</v>
      </c>
      <c r="H10" s="428" t="n">
        <f aca="false">G10+5</f>
        <v>105</v>
      </c>
      <c r="I10" s="428" t="n">
        <v>100</v>
      </c>
      <c r="J10" s="428" t="n">
        <v>130</v>
      </c>
      <c r="K10" s="428" t="n">
        <v>130</v>
      </c>
      <c r="L10" s="428" t="n">
        <v>250</v>
      </c>
      <c r="M10" s="428" t="n">
        <v>130</v>
      </c>
      <c r="N10" s="428" t="n">
        <v>150</v>
      </c>
      <c r="O10" s="428" t="n">
        <v>170</v>
      </c>
      <c r="P10" s="428" t="n">
        <v>160</v>
      </c>
      <c r="Q10" s="428" t="n">
        <v>150</v>
      </c>
      <c r="R10" s="428" t="n">
        <v>160</v>
      </c>
      <c r="S10" s="428" t="n">
        <v>150</v>
      </c>
      <c r="T10" s="425" t="n">
        <v>140</v>
      </c>
      <c r="U10" s="425" t="n">
        <v>140</v>
      </c>
      <c r="V10" s="425" t="n">
        <v>140</v>
      </c>
      <c r="W10" s="425" t="n">
        <v>130</v>
      </c>
      <c r="X10" s="425" t="n">
        <v>140</v>
      </c>
      <c r="Y10" s="425" t="n">
        <v>195</v>
      </c>
      <c r="Z10" s="425" t="n">
        <v>190</v>
      </c>
      <c r="AA10" s="425" t="n">
        <v>200</v>
      </c>
      <c r="AB10" s="425" t="n">
        <v>230</v>
      </c>
      <c r="AC10" s="425" t="n">
        <v>180</v>
      </c>
      <c r="AD10" s="425" t="n">
        <v>160</v>
      </c>
      <c r="AE10" s="425" t="n">
        <v>150</v>
      </c>
      <c r="AF10" s="425" t="n">
        <v>130</v>
      </c>
      <c r="AG10" s="425" t="n">
        <v>110</v>
      </c>
      <c r="AH10" s="425" t="n">
        <v>100</v>
      </c>
      <c r="AK10" s="429"/>
      <c r="AN10" s="423" t="s">
        <v>802</v>
      </c>
      <c r="AO10" s="432"/>
    </row>
    <row r="11" s="425" customFormat="true" ht="12.8" hidden="false" customHeight="false" outlineLevel="0" collapsed="false">
      <c r="B11" s="426" t="s">
        <v>808</v>
      </c>
      <c r="C11" s="427" t="n">
        <v>4</v>
      </c>
      <c r="D11" s="428" t="n">
        <v>50</v>
      </c>
      <c r="E11" s="428" t="n">
        <v>60</v>
      </c>
      <c r="F11" s="428" t="n">
        <v>90</v>
      </c>
      <c r="G11" s="428" t="n">
        <v>100</v>
      </c>
      <c r="H11" s="428" t="n">
        <f aca="false">G11+5</f>
        <v>105</v>
      </c>
      <c r="I11" s="428" t="n">
        <v>100</v>
      </c>
      <c r="J11" s="428" t="n">
        <v>130</v>
      </c>
      <c r="K11" s="428" t="n">
        <v>130</v>
      </c>
      <c r="L11" s="428" t="n">
        <v>250</v>
      </c>
      <c r="M11" s="428" t="n">
        <v>130</v>
      </c>
      <c r="N11" s="428" t="n">
        <v>150</v>
      </c>
      <c r="O11" s="428" t="n">
        <v>170</v>
      </c>
      <c r="P11" s="428" t="n">
        <v>160</v>
      </c>
      <c r="Q11" s="428" t="n">
        <v>150</v>
      </c>
      <c r="R11" s="428" t="n">
        <v>160</v>
      </c>
      <c r="S11" s="428" t="n">
        <v>150</v>
      </c>
      <c r="T11" s="425" t="n">
        <v>140</v>
      </c>
      <c r="U11" s="425" t="n">
        <v>140</v>
      </c>
      <c r="V11" s="425" t="n">
        <v>140</v>
      </c>
      <c r="W11" s="425" t="n">
        <v>130</v>
      </c>
      <c r="X11" s="425" t="n">
        <v>140</v>
      </c>
      <c r="Y11" s="425" t="n">
        <v>195</v>
      </c>
      <c r="Z11" s="425" t="n">
        <v>195</v>
      </c>
      <c r="AA11" s="425" t="n">
        <v>200</v>
      </c>
      <c r="AB11" s="425" t="n">
        <v>230</v>
      </c>
      <c r="AC11" s="425" t="n">
        <v>180</v>
      </c>
      <c r="AD11" s="425" t="n">
        <v>160</v>
      </c>
      <c r="AE11" s="425" t="n">
        <v>150</v>
      </c>
      <c r="AF11" s="425" t="n">
        <v>130</v>
      </c>
      <c r="AG11" s="425" t="n">
        <v>110</v>
      </c>
      <c r="AH11" s="425" t="n">
        <v>100</v>
      </c>
      <c r="AK11" s="429"/>
      <c r="AN11" s="423" t="s">
        <v>809</v>
      </c>
      <c r="AO11" s="433"/>
    </row>
    <row r="12" s="425" customFormat="true" ht="12.8" hidden="false" customHeight="false" outlineLevel="0" collapsed="false">
      <c r="B12" s="426" t="s">
        <v>810</v>
      </c>
      <c r="C12" s="427" t="n">
        <v>5</v>
      </c>
      <c r="D12" s="428" t="n">
        <v>100</v>
      </c>
      <c r="E12" s="428" t="n">
        <v>150</v>
      </c>
      <c r="F12" s="428" t="n">
        <v>200</v>
      </c>
      <c r="G12" s="428" t="n">
        <v>200</v>
      </c>
      <c r="H12" s="428" t="n">
        <f aca="false">G12+5</f>
        <v>205</v>
      </c>
      <c r="I12" s="428" t="n">
        <v>200</v>
      </c>
      <c r="J12" s="428" t="n">
        <v>200</v>
      </c>
      <c r="K12" s="428" t="n">
        <v>150</v>
      </c>
      <c r="L12" s="428" t="n">
        <v>250</v>
      </c>
      <c r="M12" s="428" t="n">
        <v>150</v>
      </c>
      <c r="N12" s="428" t="n">
        <v>150</v>
      </c>
      <c r="O12" s="428" t="n">
        <v>170</v>
      </c>
      <c r="P12" s="428" t="n">
        <v>160</v>
      </c>
      <c r="Q12" s="428" t="n">
        <v>150</v>
      </c>
      <c r="R12" s="428" t="n">
        <v>160</v>
      </c>
      <c r="S12" s="428" t="n">
        <v>180</v>
      </c>
      <c r="T12" s="425" t="n">
        <v>180</v>
      </c>
      <c r="U12" s="425" t="n">
        <v>140</v>
      </c>
      <c r="V12" s="425" t="n">
        <v>140</v>
      </c>
      <c r="W12" s="425" t="n">
        <v>130</v>
      </c>
      <c r="X12" s="425" t="n">
        <v>140</v>
      </c>
      <c r="Y12" s="425" t="n">
        <v>195</v>
      </c>
      <c r="Z12" s="425" t="n">
        <v>195</v>
      </c>
      <c r="AA12" s="425" t="n">
        <v>200</v>
      </c>
      <c r="AB12" s="425" t="n">
        <v>230</v>
      </c>
      <c r="AC12" s="425" t="n">
        <v>180</v>
      </c>
      <c r="AD12" s="425" t="n">
        <v>160</v>
      </c>
      <c r="AE12" s="425" t="n">
        <v>150</v>
      </c>
      <c r="AF12" s="425" t="n">
        <v>130</v>
      </c>
      <c r="AG12" s="425" t="n">
        <v>110</v>
      </c>
      <c r="AH12" s="425" t="n">
        <v>100</v>
      </c>
      <c r="AK12" s="429"/>
      <c r="AN12" s="423" t="s">
        <v>811</v>
      </c>
      <c r="AO12" s="434"/>
    </row>
    <row r="13" s="425" customFormat="true" ht="12.8" hidden="false" customHeight="false" outlineLevel="0" collapsed="false">
      <c r="B13" s="426" t="s">
        <v>812</v>
      </c>
      <c r="C13" s="427" t="n">
        <v>6</v>
      </c>
      <c r="D13" s="428" t="n">
        <v>200</v>
      </c>
      <c r="E13" s="428" t="n">
        <v>250</v>
      </c>
      <c r="F13" s="428" t="n">
        <v>300</v>
      </c>
      <c r="G13" s="428" t="n">
        <v>300</v>
      </c>
      <c r="H13" s="428" t="n">
        <f aca="false">G13+5</f>
        <v>305</v>
      </c>
      <c r="I13" s="428" t="n">
        <v>300</v>
      </c>
      <c r="J13" s="428" t="n">
        <v>300</v>
      </c>
      <c r="K13" s="428" t="n">
        <v>250</v>
      </c>
      <c r="L13" s="428" t="n">
        <v>250</v>
      </c>
      <c r="M13" s="428" t="n">
        <v>250</v>
      </c>
      <c r="N13" s="428" t="n">
        <v>250</v>
      </c>
      <c r="O13" s="428" t="n">
        <v>250</v>
      </c>
      <c r="P13" s="428" t="n">
        <v>250</v>
      </c>
      <c r="Q13" s="428" t="n">
        <v>250</v>
      </c>
      <c r="R13" s="428" t="n">
        <v>250</v>
      </c>
      <c r="S13" s="428" t="n">
        <v>250</v>
      </c>
      <c r="T13" s="425" t="n">
        <v>250</v>
      </c>
      <c r="U13" s="425" t="n">
        <v>200</v>
      </c>
      <c r="V13" s="425" t="n">
        <v>250</v>
      </c>
      <c r="W13" s="425" t="n">
        <v>250</v>
      </c>
      <c r="X13" s="425" t="n">
        <v>250</v>
      </c>
      <c r="Y13" s="425" t="n">
        <v>250</v>
      </c>
      <c r="Z13" s="425" t="n">
        <v>250</v>
      </c>
      <c r="AA13" s="425" t="n">
        <v>230</v>
      </c>
      <c r="AB13" s="425" t="n">
        <v>230</v>
      </c>
      <c r="AC13" s="425" t="n">
        <v>180</v>
      </c>
      <c r="AD13" s="425" t="n">
        <v>160</v>
      </c>
      <c r="AE13" s="425" t="n">
        <v>150</v>
      </c>
      <c r="AF13" s="425" t="n">
        <v>130</v>
      </c>
      <c r="AG13" s="425" t="n">
        <v>110</v>
      </c>
      <c r="AH13" s="425" t="n">
        <v>100</v>
      </c>
      <c r="AK13" s="429"/>
      <c r="AL13" s="426"/>
      <c r="AM13" s="426"/>
      <c r="AN13" s="423" t="s">
        <v>813</v>
      </c>
      <c r="AO13" s="435"/>
    </row>
    <row r="14" s="425" customFormat="true" ht="12.8" hidden="false" customHeight="false" outlineLevel="0" collapsed="false">
      <c r="B14" s="426" t="s">
        <v>814</v>
      </c>
      <c r="C14" s="436" t="n">
        <v>7</v>
      </c>
      <c r="D14" s="437" t="n">
        <v>100</v>
      </c>
      <c r="E14" s="437" t="n">
        <v>100</v>
      </c>
      <c r="F14" s="437" t="n">
        <v>150</v>
      </c>
      <c r="G14" s="437" t="n">
        <v>150</v>
      </c>
      <c r="H14" s="437" t="n">
        <f aca="false">G14+5</f>
        <v>155</v>
      </c>
      <c r="I14" s="437" t="n">
        <v>150</v>
      </c>
      <c r="J14" s="437" t="n">
        <v>200</v>
      </c>
      <c r="K14" s="437" t="n">
        <v>150</v>
      </c>
      <c r="L14" s="437" t="n">
        <v>250</v>
      </c>
      <c r="M14" s="437" t="n">
        <v>150</v>
      </c>
      <c r="N14" s="437" t="n">
        <v>180</v>
      </c>
      <c r="O14" s="437" t="n">
        <v>200</v>
      </c>
      <c r="P14" s="437" t="n">
        <v>200</v>
      </c>
      <c r="Q14" s="437" t="n">
        <v>200</v>
      </c>
      <c r="R14" s="437" t="n">
        <v>200</v>
      </c>
      <c r="S14" s="437" t="n">
        <v>200</v>
      </c>
      <c r="T14" s="438" t="n">
        <v>200</v>
      </c>
      <c r="U14" s="438" t="n">
        <v>200</v>
      </c>
      <c r="V14" s="438" t="n">
        <v>250</v>
      </c>
      <c r="W14" s="438" t="n">
        <v>250</v>
      </c>
      <c r="X14" s="438" t="n">
        <v>250</v>
      </c>
      <c r="Y14" s="438" t="n">
        <v>250</v>
      </c>
      <c r="Z14" s="438" t="n">
        <v>250</v>
      </c>
      <c r="AA14" s="438" t="n">
        <v>230</v>
      </c>
      <c r="AB14" s="438" t="n">
        <v>230</v>
      </c>
      <c r="AC14" s="438" t="n">
        <v>180</v>
      </c>
      <c r="AD14" s="438" t="n">
        <v>160</v>
      </c>
      <c r="AE14" s="438" t="n">
        <v>150</v>
      </c>
      <c r="AF14" s="438" t="n">
        <v>130</v>
      </c>
      <c r="AG14" s="438" t="n">
        <v>110</v>
      </c>
      <c r="AH14" s="438" t="n">
        <v>100</v>
      </c>
      <c r="AI14" s="438"/>
      <c r="AJ14" s="438"/>
      <c r="AK14" s="439"/>
      <c r="AM14" s="440"/>
    </row>
    <row r="15" s="425" customFormat="true" ht="12.85" hidden="false" customHeight="false" outlineLevel="0" collapsed="false">
      <c r="C15" s="428"/>
      <c r="D15" s="441" t="n">
        <f aca="false">SUM(D8:D14)</f>
        <v>600</v>
      </c>
      <c r="E15" s="441" t="n">
        <f aca="false">SUM(E8:E14)</f>
        <v>740</v>
      </c>
      <c r="F15" s="441" t="n">
        <f aca="false">SUM(F8:F14)</f>
        <v>1010</v>
      </c>
      <c r="G15" s="441" t="n">
        <f aca="false">SUM(G8:G14)</f>
        <v>1050</v>
      </c>
      <c r="H15" s="441" t="n">
        <f aca="false">SUM(H8:H14)</f>
        <v>1085</v>
      </c>
      <c r="I15" s="441" t="n">
        <f aca="false">SUM(I8:I14)</f>
        <v>1050</v>
      </c>
      <c r="J15" s="441" t="n">
        <f aca="false">SUM(J8:J14)</f>
        <v>1220</v>
      </c>
      <c r="K15" s="441" t="n">
        <f aca="false">SUM(K8:K14)</f>
        <v>1070</v>
      </c>
      <c r="L15" s="441" t="n">
        <f aca="false">SUM(L8:L14)</f>
        <v>1750</v>
      </c>
      <c r="M15" s="441" t="n">
        <f aca="false">SUM(M8:M14)</f>
        <v>1070</v>
      </c>
      <c r="N15" s="441" t="n">
        <f aca="false">SUM(N8:N14)</f>
        <v>1180</v>
      </c>
      <c r="O15" s="441" t="n">
        <f aca="false">SUM(O8:O14)</f>
        <v>1300</v>
      </c>
      <c r="P15" s="441" t="n">
        <f aca="false">SUM(P8:P14)</f>
        <v>1250</v>
      </c>
      <c r="Q15" s="441" t="n">
        <f aca="false">SUM(Q8:Q14)</f>
        <v>1200</v>
      </c>
      <c r="R15" s="441" t="n">
        <f aca="false">SUM(R8:R14)</f>
        <v>1250</v>
      </c>
      <c r="S15" s="441" t="n">
        <f aca="false">SUM(S8:S14)</f>
        <v>1230</v>
      </c>
      <c r="T15" s="441" t="n">
        <f aca="false">SUM(T8:T14)</f>
        <v>1190</v>
      </c>
      <c r="U15" s="441" t="n">
        <f aca="false">SUM(U8:U14)</f>
        <v>1100</v>
      </c>
      <c r="V15" s="441" t="n">
        <f aca="false">SUM(V8:V14)</f>
        <v>1200</v>
      </c>
      <c r="W15" s="441" t="n">
        <f aca="false">SUM(W8:W14)</f>
        <v>1150</v>
      </c>
      <c r="X15" s="441" t="n">
        <f aca="false">SUM(X8:X14)</f>
        <v>1200</v>
      </c>
      <c r="Y15" s="441" t="n">
        <f aca="false">SUM(Y8:Y14)</f>
        <v>1475</v>
      </c>
      <c r="Z15" s="441" t="n">
        <f aca="false">SUM(Z8:Z14)</f>
        <v>1460</v>
      </c>
      <c r="AA15" s="441" t="n">
        <f aca="false">SUM(AA8:AA14)</f>
        <v>1460</v>
      </c>
      <c r="AB15" s="441" t="n">
        <f aca="false">SUM(AB8:AB14)</f>
        <v>1610</v>
      </c>
      <c r="AC15" s="441" t="n">
        <f aca="false">SUM(AC8:AC14)</f>
        <v>1260</v>
      </c>
      <c r="AD15" s="441" t="n">
        <f aca="false">SUM(AD8:AD14)</f>
        <v>1120</v>
      </c>
      <c r="AE15" s="441" t="n">
        <f aca="false">SUM(AE8:AE14)</f>
        <v>1050</v>
      </c>
      <c r="AF15" s="441" t="n">
        <f aca="false">SUM(AF8:AF14)</f>
        <v>910</v>
      </c>
      <c r="AG15" s="441" t="n">
        <f aca="false">SUM(AG8:AG14)</f>
        <v>770</v>
      </c>
      <c r="AH15" s="441" t="n">
        <f aca="false">SUM(AH8:AH14)</f>
        <v>700</v>
      </c>
      <c r="AI15" s="441" t="n">
        <f aca="false">SUM(AI8:AI14)</f>
        <v>0</v>
      </c>
      <c r="AJ15" s="441" t="n">
        <f aca="false">SUM(AJ8:AJ14)</f>
        <v>0</v>
      </c>
      <c r="AK15" s="441" t="n">
        <f aca="false">SUM(AK8:AK14)</f>
        <v>0</v>
      </c>
      <c r="AM15" s="440"/>
    </row>
    <row r="16" s="425" customFormat="true" ht="12.8" hidden="false" customHeight="false" outlineLevel="0" collapsed="false">
      <c r="C16" s="428"/>
      <c r="D16" s="428"/>
      <c r="E16" s="428"/>
      <c r="F16" s="428"/>
      <c r="AM16" s="440"/>
    </row>
    <row r="17" s="425" customFormat="true" ht="12.8" hidden="false" customHeight="false" outlineLevel="0" collapsed="false">
      <c r="C17" s="442" t="s">
        <v>815</v>
      </c>
      <c r="D17" s="428"/>
      <c r="E17" s="428"/>
      <c r="F17" s="428"/>
      <c r="G17" s="428"/>
    </row>
    <row r="18" s="425" customFormat="true" ht="12.8" hidden="false" customHeight="false" outlineLevel="0" collapsed="false">
      <c r="C18" s="428"/>
      <c r="D18" s="428"/>
      <c r="E18" s="428"/>
      <c r="F18" s="428"/>
      <c r="Y18" s="440"/>
      <c r="Z18" s="440"/>
      <c r="AA18" s="440"/>
      <c r="AB18" s="440"/>
      <c r="AC18" s="440"/>
      <c r="AD18" s="440"/>
      <c r="AE18" s="440"/>
      <c r="AF18" s="440"/>
      <c r="AG18" s="440"/>
      <c r="AH18" s="440"/>
      <c r="AI18" s="440"/>
      <c r="AJ18" s="440"/>
    </row>
    <row r="19" s="425" customFormat="true" ht="12.8" hidden="false" customHeight="false" outlineLevel="0" collapsed="false">
      <c r="C19" s="426" t="s">
        <v>816</v>
      </c>
      <c r="D19" s="428" t="n">
        <v>6.99</v>
      </c>
      <c r="E19" s="428"/>
      <c r="F19" s="428"/>
      <c r="Y19" s="440"/>
      <c r="Z19" s="440"/>
      <c r="AA19" s="440"/>
      <c r="AB19" s="440"/>
      <c r="AC19" s="440"/>
      <c r="AD19" s="440"/>
      <c r="AE19" s="440"/>
      <c r="AF19" s="440"/>
      <c r="AG19" s="440"/>
      <c r="AH19" s="440"/>
      <c r="AI19" s="440"/>
      <c r="AJ19" s="440"/>
    </row>
    <row r="20" s="425" customFormat="true" ht="12.8" hidden="false" customHeight="false" outlineLevel="0" collapsed="false">
      <c r="C20" s="426" t="s">
        <v>817</v>
      </c>
      <c r="D20" s="428" t="n">
        <v>3.5</v>
      </c>
      <c r="E20" s="428"/>
      <c r="F20" s="428"/>
      <c r="Y20" s="440"/>
      <c r="Z20" s="440"/>
      <c r="AA20" s="440"/>
      <c r="AB20" s="440"/>
      <c r="AC20" s="440"/>
      <c r="AD20" s="440"/>
      <c r="AE20" s="440"/>
      <c r="AF20" s="440"/>
      <c r="AG20" s="440"/>
      <c r="AH20" s="440"/>
      <c r="AI20" s="440"/>
      <c r="AJ20" s="440"/>
      <c r="AK20" s="440"/>
    </row>
    <row r="21" s="425" customFormat="true" ht="12.8" hidden="false" customHeight="false" outlineLevel="0" collapsed="false">
      <c r="C21" s="426" t="s">
        <v>818</v>
      </c>
      <c r="D21" s="428" t="n">
        <v>2.5</v>
      </c>
      <c r="E21" s="428"/>
      <c r="F21" s="428"/>
      <c r="AK21" s="440"/>
    </row>
    <row r="22" s="425" customFormat="true" ht="12.8" hidden="false" customHeight="false" outlineLevel="0" collapsed="false">
      <c r="C22" s="426" t="s">
        <v>819</v>
      </c>
      <c r="D22" s="428" t="s">
        <v>820</v>
      </c>
      <c r="E22" s="428"/>
      <c r="F22" s="428"/>
      <c r="AK22" s="440"/>
    </row>
    <row r="23" customFormat="false" ht="12.8" hidden="false" customHeight="false" outlineLevel="0" collapsed="false">
      <c r="C23" s="443"/>
      <c r="F23" s="444"/>
      <c r="X23" s="425"/>
    </row>
    <row r="24" customFormat="false" ht="12.8" hidden="false" customHeight="false" outlineLevel="0" collapsed="false">
      <c r="F24" s="444"/>
      <c r="X24" s="425"/>
    </row>
    <row r="25" customFormat="false" ht="12.8" hidden="false" customHeight="false" outlineLevel="0" collapsed="false">
      <c r="X25" s="425"/>
    </row>
  </sheetData>
  <conditionalFormatting sqref="D15:S15 U15">
    <cfRule type="dataBar" priority="2">
      <dataBar showValue="1" minLength="10" maxLength="90"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{23FD8FB5-F6A5-4E2A-9B9F-6D1C9AFF40B7}</x14:id>
        </ext>
      </extLst>
    </cfRule>
  </conditionalFormatting>
  <conditionalFormatting sqref="T15">
    <cfRule type="dataBar" priority="3">
      <dataBar showValue="1" minLength="10" maxLength="90"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{91105DB5-379D-4535-BBD4-C1A1411E5A90}</x14:id>
        </ext>
      </extLst>
    </cfRule>
  </conditionalFormatting>
  <conditionalFormatting sqref="V15">
    <cfRule type="dataBar" priority="4">
      <dataBar showValue="1" minLength="10" maxLength="90"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{C6A88A50-4478-4A50-9BF2-6975DB4040A7}</x14:id>
        </ext>
      </extLst>
    </cfRule>
  </conditionalFormatting>
  <conditionalFormatting sqref="W15">
    <cfRule type="dataBar" priority="5">
      <dataBar showValue="1" minLength="10" maxLength="90"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{7EC7A28D-B219-4270-96F2-CB4B2CB01A6A}</x14:id>
        </ext>
      </extLst>
    </cfRule>
  </conditionalFormatting>
  <conditionalFormatting sqref="X15:Z15">
    <cfRule type="dataBar" priority="6">
      <dataBar showValue="1" minLength="10" maxLength="90"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{DDD2B12C-DBF4-4B95-BD2B-491483D77844}</x14:id>
        </ext>
      </extLst>
    </cfRule>
  </conditionalFormatting>
  <conditionalFormatting sqref="AA15">
    <cfRule type="dataBar" priority="7">
      <dataBar showValue="1" minLength="10" maxLength="90"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{4A94E9ED-69BA-4148-B620-F914B7BEE49E}</x14:id>
        </ext>
      </extLst>
    </cfRule>
  </conditionalFormatting>
  <conditionalFormatting sqref="AB15:AD15 AK15">
    <cfRule type="dataBar" priority="8">
      <dataBar showValue="1" minLength="10" maxLength="90"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{9811E012-A02F-4EF9-BA26-36FC2E40D259}</x14:id>
        </ext>
      </extLst>
    </cfRule>
  </conditionalFormatting>
  <conditionalFormatting sqref="AE15">
    <cfRule type="dataBar" priority="9">
      <dataBar showValue="1" minLength="10" maxLength="90"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{D08056C0-ED42-428E-ADE5-703265104F4B}</x14:id>
        </ext>
      </extLst>
    </cfRule>
  </conditionalFormatting>
  <conditionalFormatting sqref="AF15:AI15">
    <cfRule type="dataBar" priority="10">
      <dataBar showValue="1" minLength="10" maxLength="90"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{9AAC70F7-C3F4-4AE5-BFFD-8C97346FF0BD}</x14:id>
        </ext>
      </extLst>
    </cfRule>
  </conditionalFormatting>
  <conditionalFormatting sqref="AJ15">
    <cfRule type="dataBar" priority="11">
      <dataBar showValue="1" minLength="10" maxLength="90"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{13A120EB-3611-4E51-BB2E-309AD75EED34}</x14:id>
        </ext>
      </extLst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3FD8FB5-F6A5-4E2A-9B9F-6D1C9AFF40B7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D15:S15 U15</xm:sqref>
        </x14:conditionalFormatting>
        <x14:conditionalFormatting xmlns:xm="http://schemas.microsoft.com/office/excel/2006/main">
          <x14:cfRule type="dataBar" id="{91105DB5-379D-4535-BBD4-C1A1411E5A90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T15</xm:sqref>
        </x14:conditionalFormatting>
        <x14:conditionalFormatting xmlns:xm="http://schemas.microsoft.com/office/excel/2006/main">
          <x14:cfRule type="dataBar" id="{C6A88A50-4478-4A50-9BF2-6975DB4040A7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V15</xm:sqref>
        </x14:conditionalFormatting>
        <x14:conditionalFormatting xmlns:xm="http://schemas.microsoft.com/office/excel/2006/main">
          <x14:cfRule type="dataBar" id="{7EC7A28D-B219-4270-96F2-CB4B2CB01A6A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W15</xm:sqref>
        </x14:conditionalFormatting>
        <x14:conditionalFormatting xmlns:xm="http://schemas.microsoft.com/office/excel/2006/main">
          <x14:cfRule type="dataBar" id="{DDD2B12C-DBF4-4B95-BD2B-491483D77844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X15:Z15</xm:sqref>
        </x14:conditionalFormatting>
        <x14:conditionalFormatting xmlns:xm="http://schemas.microsoft.com/office/excel/2006/main">
          <x14:cfRule type="dataBar" id="{4A94E9ED-69BA-4148-B620-F914B7BEE49E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AA15</xm:sqref>
        </x14:conditionalFormatting>
        <x14:conditionalFormatting xmlns:xm="http://schemas.microsoft.com/office/excel/2006/main">
          <x14:cfRule type="dataBar" id="{9811E012-A02F-4EF9-BA26-36FC2E40D259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AB15:AD15 AK15</xm:sqref>
        </x14:conditionalFormatting>
        <x14:conditionalFormatting xmlns:xm="http://schemas.microsoft.com/office/excel/2006/main">
          <x14:cfRule type="dataBar" id="{D08056C0-ED42-428E-ADE5-703265104F4B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AE15</xm:sqref>
        </x14:conditionalFormatting>
        <x14:conditionalFormatting xmlns:xm="http://schemas.microsoft.com/office/excel/2006/main">
          <x14:cfRule type="dataBar" id="{9AAC70F7-C3F4-4AE5-BFFD-8C97346FF0BD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AF15:AI15</xm:sqref>
        </x14:conditionalFormatting>
        <x14:conditionalFormatting xmlns:xm="http://schemas.microsoft.com/office/excel/2006/main">
          <x14:cfRule type="dataBar" id="{13A120EB-3611-4E51-BB2E-309AD75EED34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AJ15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7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11" topLeftCell="G2543" activePane="bottomRight" state="frozen"/>
      <selection pane="topLeft" activeCell="A1" activeCellId="0" sqref="A1"/>
      <selection pane="topRight" activeCell="G1" activeCellId="0" sqref="G1"/>
      <selection pane="bottomLeft" activeCell="A2543" activeCellId="0" sqref="A2543"/>
      <selection pane="bottomRight" activeCell="H2555" activeCellId="0" sqref="H2555"/>
    </sheetView>
  </sheetViews>
  <sheetFormatPr defaultColWidth="9.171875" defaultRowHeight="12.8" zeroHeight="false" outlineLevelRow="0" outlineLevelCol="0"/>
  <cols>
    <col collapsed="false" customWidth="true" hidden="false" outlineLevel="0" max="1" min="1" style="1" width="12.83"/>
    <col collapsed="false" customWidth="true" hidden="false" outlineLevel="0" max="2" min="2" style="1" width="33.07"/>
    <col collapsed="false" customWidth="true" hidden="false" outlineLevel="0" max="3" min="3" style="2" width="4.17"/>
    <col collapsed="false" customWidth="true" hidden="false" outlineLevel="0" max="4" min="4" style="2" width="11.45"/>
    <col collapsed="false" customWidth="true" hidden="true" outlineLevel="0" max="5" min="5" style="2" width="36"/>
    <col collapsed="false" customWidth="true" hidden="true" outlineLevel="0" max="6" min="6" style="1" width="15.56"/>
    <col collapsed="false" customWidth="true" hidden="false" outlineLevel="0" max="7" min="7" style="3" width="13.19"/>
    <col collapsed="false" customWidth="true" hidden="false" outlineLevel="0" max="8" min="8" style="4" width="12.44"/>
    <col collapsed="false" customWidth="true" hidden="false" outlineLevel="0" max="9" min="9" style="5" width="12.44"/>
    <col collapsed="false" customWidth="true" hidden="false" outlineLevel="0" max="10" min="10" style="6" width="32.37"/>
    <col collapsed="false" customWidth="true" hidden="false" outlineLevel="0" max="11" min="11" style="7" width="17.9"/>
    <col collapsed="false" customWidth="true" hidden="false" outlineLevel="0" max="12" min="12" style="7" width="12.06"/>
    <col collapsed="false" customWidth="true" hidden="false" outlineLevel="0" max="13" min="13" style="1" width="6.83"/>
    <col collapsed="false" customWidth="true" hidden="false" outlineLevel="0" max="18" min="14" style="1" width="7.11"/>
    <col collapsed="false" customWidth="false" hidden="false" outlineLevel="0" max="1020" min="19" style="1" width="9.16"/>
    <col collapsed="false" customWidth="true" hidden="false" outlineLevel="0" max="1024" min="1021" style="0" width="11.52"/>
  </cols>
  <sheetData>
    <row r="1" customFormat="false" ht="19.7" hidden="false" customHeight="false" outlineLevel="0" collapsed="false">
      <c r="A1" s="0"/>
      <c r="B1" s="8"/>
      <c r="C1" s="8"/>
      <c r="D1" s="8"/>
      <c r="E1" s="8"/>
      <c r="F1" s="8"/>
      <c r="G1" s="9" t="s">
        <v>0</v>
      </c>
      <c r="H1" s="9"/>
      <c r="I1" s="9"/>
      <c r="J1" s="9"/>
      <c r="K1" s="10"/>
      <c r="L1" s="11"/>
    </row>
    <row r="2" s="20" customFormat="true" ht="12.8" hidden="false" customHeight="false" outlineLevel="0" collapsed="false">
      <c r="A2" s="12" t="s">
        <v>1</v>
      </c>
      <c r="B2" s="12" t="s">
        <v>2</v>
      </c>
      <c r="C2" s="13" t="s">
        <v>3</v>
      </c>
      <c r="D2" s="14" t="s">
        <v>4</v>
      </c>
      <c r="E2" s="13" t="s">
        <v>5</v>
      </c>
      <c r="F2" s="15" t="s">
        <v>6</v>
      </c>
      <c r="G2" s="16" t="s">
        <v>7</v>
      </c>
      <c r="H2" s="17" t="s">
        <v>1</v>
      </c>
      <c r="I2" s="5" t="s">
        <v>8</v>
      </c>
      <c r="J2" s="18" t="s">
        <v>6</v>
      </c>
      <c r="K2" s="7"/>
      <c r="L2" s="19" t="s">
        <v>821</v>
      </c>
      <c r="AMG2" s="0"/>
      <c r="AMH2" s="0"/>
      <c r="AMI2" s="0"/>
      <c r="AMJ2" s="0"/>
    </row>
    <row r="3" customFormat="false" ht="12.8" hidden="false" customHeight="false" outlineLevel="0" collapsed="false">
      <c r="A3" s="445" t="s">
        <v>822</v>
      </c>
      <c r="B3" s="445" t="s">
        <v>823</v>
      </c>
      <c r="C3" s="445" t="s">
        <v>236</v>
      </c>
      <c r="D3" s="446"/>
      <c r="E3" s="37" t="s">
        <v>824</v>
      </c>
      <c r="F3" s="447"/>
      <c r="G3" s="25" t="n">
        <v>44149</v>
      </c>
      <c r="H3" s="448" t="s">
        <v>822</v>
      </c>
      <c r="I3" s="5" t="n">
        <v>32.7</v>
      </c>
      <c r="J3" s="27" t="s">
        <v>13</v>
      </c>
      <c r="K3" s="449" t="s">
        <v>825</v>
      </c>
      <c r="L3" s="7" t="s">
        <v>826</v>
      </c>
    </row>
    <row r="4" customFormat="false" ht="12.8" hidden="false" customHeight="false" outlineLevel="0" collapsed="false">
      <c r="A4" s="450" t="s">
        <v>827</v>
      </c>
      <c r="B4" s="450" t="s">
        <v>828</v>
      </c>
      <c r="C4" s="450" t="s">
        <v>236</v>
      </c>
      <c r="D4" s="451" t="s">
        <v>826</v>
      </c>
      <c r="E4" s="37"/>
      <c r="F4" s="447"/>
      <c r="G4" s="25" t="n">
        <v>44149</v>
      </c>
      <c r="H4" s="448" t="s">
        <v>827</v>
      </c>
      <c r="I4" s="5" t="n">
        <v>0</v>
      </c>
      <c r="J4" s="27" t="s">
        <v>13</v>
      </c>
    </row>
    <row r="5" customFormat="false" ht="12.8" hidden="false" customHeight="false" outlineLevel="0" collapsed="false">
      <c r="A5" s="21" t="s">
        <v>10</v>
      </c>
      <c r="B5" s="21" t="s">
        <v>11</v>
      </c>
      <c r="C5" s="21" t="s">
        <v>12</v>
      </c>
      <c r="D5" s="22" t="n">
        <v>2426</v>
      </c>
      <c r="E5" s="23"/>
      <c r="F5" s="24"/>
      <c r="G5" s="25" t="n">
        <v>44149</v>
      </c>
      <c r="H5" s="26" t="s">
        <v>10</v>
      </c>
      <c r="I5" s="5" t="n">
        <v>4541</v>
      </c>
      <c r="J5" s="27" t="s">
        <v>13</v>
      </c>
      <c r="K5" s="7" t="s">
        <v>829</v>
      </c>
      <c r="L5" s="452"/>
    </row>
    <row r="6" customFormat="false" ht="12.8" hidden="false" customHeight="false" outlineLevel="0" collapsed="false">
      <c r="A6" s="453" t="s">
        <v>21</v>
      </c>
      <c r="B6" s="453" t="s">
        <v>830</v>
      </c>
      <c r="C6" s="453" t="s">
        <v>12</v>
      </c>
      <c r="D6" s="454" t="n">
        <v>0.39</v>
      </c>
      <c r="E6" s="37" t="s">
        <v>20</v>
      </c>
      <c r="F6" s="24"/>
      <c r="G6" s="25" t="n">
        <v>44149</v>
      </c>
      <c r="H6" s="38" t="s">
        <v>21</v>
      </c>
      <c r="I6" s="5" t="n">
        <v>0</v>
      </c>
      <c r="J6" s="27" t="s">
        <v>13</v>
      </c>
      <c r="K6" s="7" t="s">
        <v>831</v>
      </c>
    </row>
    <row r="7" customFormat="false" ht="12.8" hidden="false" customHeight="false" outlineLevel="0" collapsed="false">
      <c r="A7" s="455" t="s">
        <v>832</v>
      </c>
      <c r="B7" s="455" t="s">
        <v>833</v>
      </c>
      <c r="C7" s="455" t="s">
        <v>12</v>
      </c>
      <c r="D7" s="456"/>
      <c r="E7" s="37" t="s">
        <v>20</v>
      </c>
      <c r="F7" s="24"/>
      <c r="G7" s="25" t="n">
        <v>44149</v>
      </c>
      <c r="H7" s="457" t="s">
        <v>832</v>
      </c>
      <c r="I7" s="5" t="n">
        <v>15.53</v>
      </c>
      <c r="J7" s="27" t="s">
        <v>13</v>
      </c>
      <c r="L7" s="458"/>
    </row>
    <row r="8" customFormat="false" ht="12.8" hidden="false" customHeight="false" outlineLevel="0" collapsed="false">
      <c r="A8" s="41" t="s">
        <v>23</v>
      </c>
      <c r="B8" s="41" t="s">
        <v>834</v>
      </c>
      <c r="C8" s="41" t="s">
        <v>12</v>
      </c>
      <c r="D8" s="42" t="n">
        <v>133.37</v>
      </c>
      <c r="E8" s="37" t="s">
        <v>20</v>
      </c>
      <c r="F8" s="24"/>
      <c r="G8" s="25" t="n">
        <v>44149</v>
      </c>
      <c r="H8" s="43" t="s">
        <v>23</v>
      </c>
      <c r="I8" s="5" t="n">
        <v>12.03</v>
      </c>
      <c r="J8" s="27" t="s">
        <v>13</v>
      </c>
      <c r="K8" s="7" t="s">
        <v>835</v>
      </c>
      <c r="L8" s="452"/>
    </row>
    <row r="9" customFormat="false" ht="12.8" hidden="false" customHeight="false" outlineLevel="0" collapsed="false">
      <c r="A9" s="30" t="s">
        <v>15</v>
      </c>
      <c r="B9" s="30" t="s">
        <v>836</v>
      </c>
      <c r="C9" s="30" t="s">
        <v>12</v>
      </c>
      <c r="D9" s="31" t="n">
        <v>0.76</v>
      </c>
      <c r="E9" s="23"/>
      <c r="F9" s="24"/>
      <c r="G9" s="25" t="n">
        <v>44149</v>
      </c>
      <c r="H9" s="32" t="s">
        <v>15</v>
      </c>
      <c r="I9" s="5" t="n">
        <v>20.2</v>
      </c>
      <c r="J9" s="27" t="s">
        <v>13</v>
      </c>
      <c r="K9" s="7" t="s">
        <v>837</v>
      </c>
      <c r="L9" s="452"/>
    </row>
    <row r="10" customFormat="false" ht="12.8" hidden="false" customHeight="false" outlineLevel="0" collapsed="false">
      <c r="A10" s="46" t="s">
        <v>26</v>
      </c>
      <c r="B10" s="46" t="s">
        <v>838</v>
      </c>
      <c r="C10" s="46" t="s">
        <v>12</v>
      </c>
      <c r="D10" s="47" t="n">
        <v>5.18</v>
      </c>
      <c r="E10" s="37" t="s">
        <v>28</v>
      </c>
      <c r="F10" s="24"/>
      <c r="G10" s="25" t="n">
        <v>44149</v>
      </c>
      <c r="H10" s="48" t="s">
        <v>26</v>
      </c>
      <c r="I10" s="5" t="n">
        <v>0.35</v>
      </c>
      <c r="J10" s="27" t="s">
        <v>13</v>
      </c>
      <c r="K10" s="7" t="s">
        <v>839</v>
      </c>
    </row>
    <row r="11" customFormat="false" ht="12.8" hidden="false" customHeight="false" outlineLevel="0" collapsed="false">
      <c r="A11" s="50" t="s">
        <v>14</v>
      </c>
      <c r="B11" s="50" t="s">
        <v>31</v>
      </c>
      <c r="C11" s="50" t="s">
        <v>12</v>
      </c>
      <c r="D11" s="51" t="n">
        <v>7472.42</v>
      </c>
      <c r="E11" s="23"/>
      <c r="G11" s="25" t="n">
        <v>44149</v>
      </c>
      <c r="H11" s="52" t="s">
        <v>14</v>
      </c>
      <c r="I11" s="5" t="n">
        <v>6675.73</v>
      </c>
      <c r="J11" s="27" t="s">
        <v>13</v>
      </c>
    </row>
    <row r="12" customFormat="false" ht="12.8" hidden="false" customHeight="false" outlineLevel="0" collapsed="false">
      <c r="A12" s="459"/>
      <c r="B12" s="24"/>
      <c r="C12" s="23"/>
      <c r="D12" s="460"/>
      <c r="E12" s="37" t="s">
        <v>840</v>
      </c>
      <c r="F12" s="24"/>
      <c r="G12" s="25" t="n">
        <v>44150</v>
      </c>
      <c r="H12" s="26" t="s">
        <v>10</v>
      </c>
      <c r="I12" s="5" t="n">
        <v>-130</v>
      </c>
      <c r="J12" s="461" t="s">
        <v>38</v>
      </c>
    </row>
    <row r="13" customFormat="false" ht="12.8" hidden="false" customHeight="false" outlineLevel="0" collapsed="false">
      <c r="A13" s="24"/>
      <c r="B13" s="24"/>
      <c r="C13" s="23"/>
      <c r="D13" s="460"/>
      <c r="E13" s="23"/>
      <c r="F13" s="24"/>
      <c r="G13" s="25" t="n">
        <v>44150</v>
      </c>
      <c r="H13" s="32" t="s">
        <v>15</v>
      </c>
      <c r="I13" s="5" t="n">
        <v>130</v>
      </c>
      <c r="J13" s="462" t="s">
        <v>38</v>
      </c>
    </row>
    <row r="14" customFormat="false" ht="12.8" hidden="false" customHeight="false" outlineLevel="0" collapsed="false">
      <c r="E14" s="23"/>
      <c r="F14" s="24"/>
      <c r="G14" s="25" t="n">
        <v>44150</v>
      </c>
      <c r="H14" s="32" t="s">
        <v>15</v>
      </c>
      <c r="I14" s="5" t="n">
        <v>-133.03</v>
      </c>
      <c r="J14" s="6" t="s">
        <v>37</v>
      </c>
    </row>
    <row r="15" customFormat="false" ht="12.8" hidden="false" customHeight="false" outlineLevel="0" collapsed="false">
      <c r="G15" s="25" t="n">
        <v>44151</v>
      </c>
      <c r="H15" s="26" t="s">
        <v>10</v>
      </c>
      <c r="I15" s="5" t="n">
        <v>-137</v>
      </c>
      <c r="J15" s="461" t="s">
        <v>38</v>
      </c>
    </row>
    <row r="16" customFormat="false" ht="12.8" hidden="false" customHeight="false" outlineLevel="0" collapsed="false">
      <c r="G16" s="25" t="n">
        <v>44151</v>
      </c>
      <c r="H16" s="32" t="s">
        <v>15</v>
      </c>
      <c r="I16" s="5" t="n">
        <v>137</v>
      </c>
      <c r="J16" s="462" t="s">
        <v>38</v>
      </c>
    </row>
    <row r="17" customFormat="false" ht="12.8" hidden="false" customHeight="false" outlineLevel="0" collapsed="false">
      <c r="G17" s="25" t="n">
        <v>44151</v>
      </c>
      <c r="H17" s="32" t="s">
        <v>15</v>
      </c>
      <c r="I17" s="5" t="n">
        <v>-127.34</v>
      </c>
      <c r="J17" s="6" t="s">
        <v>37</v>
      </c>
    </row>
    <row r="18" customFormat="false" ht="12.8" hidden="false" customHeight="false" outlineLevel="0" collapsed="false">
      <c r="G18" s="25" t="n">
        <v>44152</v>
      </c>
      <c r="H18" s="26" t="s">
        <v>10</v>
      </c>
      <c r="I18" s="5" t="n">
        <v>-124</v>
      </c>
      <c r="J18" s="461" t="s">
        <v>38</v>
      </c>
    </row>
    <row r="19" customFormat="false" ht="12.8" hidden="false" customHeight="false" outlineLevel="0" collapsed="false">
      <c r="G19" s="25" t="n">
        <v>44152</v>
      </c>
      <c r="H19" s="32" t="s">
        <v>15</v>
      </c>
      <c r="I19" s="5" t="n">
        <v>124</v>
      </c>
      <c r="J19" s="462" t="s">
        <v>38</v>
      </c>
    </row>
    <row r="20" customFormat="false" ht="12.8" hidden="false" customHeight="false" outlineLevel="0" collapsed="false">
      <c r="G20" s="25" t="n">
        <v>44152</v>
      </c>
      <c r="H20" s="32" t="s">
        <v>15</v>
      </c>
      <c r="I20" s="5" t="n">
        <v>-131.74</v>
      </c>
      <c r="J20" s="6" t="s">
        <v>37</v>
      </c>
    </row>
    <row r="21" customFormat="false" ht="12.8" hidden="false" customHeight="false" outlineLevel="0" collapsed="false">
      <c r="G21" s="25" t="n">
        <v>44153</v>
      </c>
      <c r="H21" s="26" t="s">
        <v>10</v>
      </c>
      <c r="I21" s="5" t="n">
        <v>-131</v>
      </c>
      <c r="J21" s="461" t="s">
        <v>38</v>
      </c>
    </row>
    <row r="22" customFormat="false" ht="12.8" hidden="false" customHeight="false" outlineLevel="0" collapsed="false">
      <c r="G22" s="25" t="n">
        <v>44153</v>
      </c>
      <c r="H22" s="32" t="s">
        <v>15</v>
      </c>
      <c r="I22" s="5" t="n">
        <v>131</v>
      </c>
      <c r="J22" s="462" t="s">
        <v>38</v>
      </c>
    </row>
    <row r="23" customFormat="false" ht="12.8" hidden="false" customHeight="false" outlineLevel="0" collapsed="false">
      <c r="G23" s="25" t="n">
        <v>44153</v>
      </c>
      <c r="H23" s="32" t="s">
        <v>15</v>
      </c>
      <c r="I23" s="5" t="n">
        <v>-133.5</v>
      </c>
      <c r="J23" s="6" t="s">
        <v>37</v>
      </c>
    </row>
    <row r="24" customFormat="false" ht="12.8" hidden="false" customHeight="false" outlineLevel="0" collapsed="false">
      <c r="G24" s="25" t="n">
        <v>44154</v>
      </c>
      <c r="H24" s="26" t="s">
        <v>10</v>
      </c>
      <c r="I24" s="5" t="n">
        <v>-134</v>
      </c>
      <c r="J24" s="461" t="s">
        <v>38</v>
      </c>
    </row>
    <row r="25" customFormat="false" ht="12.8" hidden="false" customHeight="false" outlineLevel="0" collapsed="false">
      <c r="G25" s="25" t="n">
        <v>44154</v>
      </c>
      <c r="H25" s="32" t="s">
        <v>15</v>
      </c>
      <c r="I25" s="5" t="n">
        <v>134</v>
      </c>
      <c r="J25" s="462" t="s">
        <v>38</v>
      </c>
    </row>
    <row r="26" customFormat="false" ht="12.8" hidden="false" customHeight="false" outlineLevel="0" collapsed="false">
      <c r="G26" s="25" t="n">
        <v>44154</v>
      </c>
      <c r="H26" s="32" t="s">
        <v>15</v>
      </c>
      <c r="I26" s="5" t="n">
        <v>-131.64</v>
      </c>
      <c r="J26" s="6" t="s">
        <v>37</v>
      </c>
    </row>
    <row r="27" customFormat="false" ht="12.8" hidden="false" customHeight="false" outlineLevel="0" collapsed="false">
      <c r="G27" s="25" t="n">
        <v>44155</v>
      </c>
      <c r="H27" s="26" t="s">
        <v>10</v>
      </c>
      <c r="I27" s="5" t="n">
        <v>-400</v>
      </c>
      <c r="J27" s="461" t="s">
        <v>38</v>
      </c>
      <c r="GV27" s="1" t="n">
        <v>36653</v>
      </c>
    </row>
    <row r="28" customFormat="false" ht="12.8" hidden="false" customHeight="false" outlineLevel="0" collapsed="false">
      <c r="G28" s="25" t="n">
        <v>44155</v>
      </c>
      <c r="H28" s="32" t="s">
        <v>15</v>
      </c>
      <c r="I28" s="5" t="n">
        <v>400</v>
      </c>
      <c r="J28" s="462" t="s">
        <v>38</v>
      </c>
      <c r="GW28" s="1" t="n">
        <v>36549</v>
      </c>
    </row>
    <row r="29" customFormat="false" ht="12.8" hidden="false" customHeight="false" outlineLevel="0" collapsed="false">
      <c r="G29" s="25" t="n">
        <v>44155</v>
      </c>
      <c r="H29" s="32" t="s">
        <v>15</v>
      </c>
      <c r="I29" s="5" t="n">
        <v>-107.85</v>
      </c>
      <c r="J29" s="6" t="s">
        <v>841</v>
      </c>
    </row>
    <row r="30" customFormat="false" ht="12.8" hidden="false" customHeight="false" outlineLevel="0" collapsed="false">
      <c r="G30" s="25" t="n">
        <v>44155</v>
      </c>
      <c r="H30" s="32" t="s">
        <v>15</v>
      </c>
      <c r="I30" s="5" t="n">
        <v>-123.8</v>
      </c>
      <c r="J30" s="6" t="s">
        <v>37</v>
      </c>
    </row>
    <row r="31" customFormat="false" ht="12.8" hidden="false" customHeight="false" outlineLevel="0" collapsed="false">
      <c r="G31" s="25" t="n">
        <v>44156</v>
      </c>
      <c r="H31" s="32" t="s">
        <v>15</v>
      </c>
      <c r="I31" s="5" t="n">
        <v>-140.02</v>
      </c>
      <c r="J31" s="6" t="s">
        <v>37</v>
      </c>
    </row>
    <row r="32" customFormat="false" ht="12.8" hidden="false" customHeight="false" outlineLevel="0" collapsed="false">
      <c r="G32" s="25" t="n">
        <v>44157</v>
      </c>
      <c r="H32" s="26" t="s">
        <v>10</v>
      </c>
      <c r="I32" s="5" t="n">
        <v>-103</v>
      </c>
      <c r="J32" s="461" t="s">
        <v>38</v>
      </c>
    </row>
    <row r="33" customFormat="false" ht="12.8" hidden="false" customHeight="false" outlineLevel="0" collapsed="false">
      <c r="G33" s="25" t="n">
        <v>44157</v>
      </c>
      <c r="H33" s="32" t="s">
        <v>15</v>
      </c>
      <c r="I33" s="5" t="n">
        <v>103</v>
      </c>
      <c r="J33" s="462" t="s">
        <v>38</v>
      </c>
    </row>
    <row r="34" customFormat="false" ht="12.8" hidden="false" customHeight="false" outlineLevel="0" collapsed="false">
      <c r="G34" s="25" t="n">
        <v>44157</v>
      </c>
      <c r="H34" s="32" t="s">
        <v>15</v>
      </c>
      <c r="I34" s="5" t="n">
        <v>-137.24</v>
      </c>
      <c r="J34" s="6" t="s">
        <v>37</v>
      </c>
    </row>
    <row r="35" customFormat="false" ht="12.8" hidden="false" customHeight="false" outlineLevel="0" collapsed="false">
      <c r="G35" s="25" t="n">
        <v>44158</v>
      </c>
      <c r="H35" s="26" t="s">
        <v>10</v>
      </c>
      <c r="I35" s="5" t="n">
        <v>-177</v>
      </c>
      <c r="J35" s="461" t="s">
        <v>38</v>
      </c>
    </row>
    <row r="36" customFormat="false" ht="12.8" hidden="false" customHeight="false" outlineLevel="0" collapsed="false">
      <c r="G36" s="25" t="n">
        <v>44158</v>
      </c>
      <c r="H36" s="32" t="s">
        <v>15</v>
      </c>
      <c r="I36" s="5" t="n">
        <v>177</v>
      </c>
      <c r="J36" s="462" t="s">
        <v>38</v>
      </c>
    </row>
    <row r="37" customFormat="false" ht="12.8" hidden="false" customHeight="false" outlineLevel="0" collapsed="false">
      <c r="G37" s="25" t="n">
        <v>44158</v>
      </c>
      <c r="H37" s="32" t="s">
        <v>15</v>
      </c>
      <c r="I37" s="5" t="n">
        <v>-47.23</v>
      </c>
      <c r="J37" s="6" t="s">
        <v>37</v>
      </c>
    </row>
    <row r="38" customFormat="false" ht="12.8" hidden="false" customHeight="false" outlineLevel="0" collapsed="false">
      <c r="G38" s="25" t="n">
        <v>44158</v>
      </c>
      <c r="H38" s="32" t="s">
        <v>15</v>
      </c>
      <c r="I38" s="5" t="n">
        <v>-100</v>
      </c>
      <c r="J38" s="6" t="s">
        <v>842</v>
      </c>
    </row>
    <row r="39" customFormat="false" ht="12.8" hidden="false" customHeight="false" outlineLevel="0" collapsed="false">
      <c r="G39" s="25" t="n">
        <v>44159</v>
      </c>
      <c r="H39" s="26" t="s">
        <v>10</v>
      </c>
      <c r="I39" s="5" t="n">
        <v>-258</v>
      </c>
      <c r="J39" s="461" t="s">
        <v>38</v>
      </c>
    </row>
    <row r="40" customFormat="false" ht="12.8" hidden="false" customHeight="false" outlineLevel="0" collapsed="false">
      <c r="G40" s="25" t="n">
        <v>44159</v>
      </c>
      <c r="H40" s="32" t="s">
        <v>15</v>
      </c>
      <c r="I40" s="5" t="n">
        <v>258</v>
      </c>
      <c r="J40" s="462" t="s">
        <v>38</v>
      </c>
    </row>
    <row r="41" customFormat="false" ht="12.8" hidden="false" customHeight="false" outlineLevel="0" collapsed="false">
      <c r="G41" s="25" t="n">
        <v>44159</v>
      </c>
      <c r="H41" s="32" t="s">
        <v>15</v>
      </c>
      <c r="I41" s="5" t="n">
        <v>-126.43</v>
      </c>
      <c r="J41" s="6" t="s">
        <v>37</v>
      </c>
    </row>
    <row r="42" customFormat="false" ht="12.8" hidden="false" customHeight="false" outlineLevel="0" collapsed="false">
      <c r="G42" s="25" t="n">
        <v>44159</v>
      </c>
      <c r="H42" s="52" t="s">
        <v>14</v>
      </c>
      <c r="I42" s="5" t="n">
        <v>-500</v>
      </c>
      <c r="J42" s="461" t="s">
        <v>480</v>
      </c>
    </row>
    <row r="43" customFormat="false" ht="12.8" hidden="false" customHeight="false" outlineLevel="0" collapsed="false">
      <c r="G43" s="25" t="n">
        <v>44159</v>
      </c>
      <c r="H43" s="48" t="s">
        <v>26</v>
      </c>
      <c r="I43" s="5" t="n">
        <v>500</v>
      </c>
      <c r="J43" s="461" t="s">
        <v>480</v>
      </c>
    </row>
    <row r="44" customFormat="false" ht="12.8" hidden="false" customHeight="false" outlineLevel="0" collapsed="false">
      <c r="G44" s="25" t="n">
        <v>44159</v>
      </c>
      <c r="H44" s="48" t="s">
        <v>26</v>
      </c>
      <c r="I44" s="5" t="n">
        <v>-270</v>
      </c>
      <c r="J44" s="6" t="s">
        <v>843</v>
      </c>
    </row>
    <row r="45" customFormat="false" ht="12.8" hidden="false" customHeight="false" outlineLevel="0" collapsed="false">
      <c r="G45" s="25" t="n">
        <v>44159</v>
      </c>
      <c r="H45" s="48" t="s">
        <v>26</v>
      </c>
      <c r="I45" s="5" t="n">
        <v>-103.39</v>
      </c>
      <c r="J45" s="6" t="s">
        <v>47</v>
      </c>
    </row>
    <row r="46" customFormat="false" ht="12.8" hidden="false" customHeight="false" outlineLevel="0" collapsed="false">
      <c r="G46" s="25" t="n">
        <v>44159</v>
      </c>
      <c r="H46" s="48" t="s">
        <v>26</v>
      </c>
      <c r="I46" s="5" t="n">
        <v>-65</v>
      </c>
      <c r="J46" s="6" t="s">
        <v>844</v>
      </c>
    </row>
    <row r="47" customFormat="false" ht="12.8" hidden="false" customHeight="false" outlineLevel="0" collapsed="false">
      <c r="G47" s="25" t="n">
        <v>44160</v>
      </c>
      <c r="H47" s="26" t="s">
        <v>10</v>
      </c>
      <c r="I47" s="5" t="n">
        <v>-216</v>
      </c>
      <c r="J47" s="461" t="s">
        <v>38</v>
      </c>
    </row>
    <row r="48" customFormat="false" ht="12.8" hidden="false" customHeight="false" outlineLevel="0" collapsed="false">
      <c r="G48" s="25" t="n">
        <v>44160</v>
      </c>
      <c r="H48" s="32" t="s">
        <v>15</v>
      </c>
      <c r="I48" s="5" t="n">
        <v>216</v>
      </c>
      <c r="J48" s="461" t="s">
        <v>38</v>
      </c>
    </row>
    <row r="49" customFormat="false" ht="12.8" hidden="false" customHeight="false" outlineLevel="0" collapsed="false">
      <c r="G49" s="25" t="n">
        <v>44160</v>
      </c>
      <c r="H49" s="32" t="s">
        <v>15</v>
      </c>
      <c r="I49" s="5" t="n">
        <v>-85.32</v>
      </c>
      <c r="J49" s="461" t="s">
        <v>37</v>
      </c>
    </row>
    <row r="50" customFormat="false" ht="12.8" hidden="false" customHeight="false" outlineLevel="0" collapsed="false">
      <c r="G50" s="25" t="n">
        <v>44160</v>
      </c>
      <c r="H50" s="32" t="s">
        <v>15</v>
      </c>
      <c r="I50" s="5" t="n">
        <v>-87.68</v>
      </c>
      <c r="J50" s="461" t="s">
        <v>53</v>
      </c>
    </row>
    <row r="51" customFormat="false" ht="12.8" hidden="false" customHeight="false" outlineLevel="0" collapsed="false">
      <c r="G51" s="25" t="n">
        <v>44161</v>
      </c>
      <c r="H51" s="32" t="s">
        <v>15</v>
      </c>
      <c r="I51" s="5" t="n">
        <v>-114.8</v>
      </c>
      <c r="J51" s="461" t="s">
        <v>37</v>
      </c>
    </row>
    <row r="52" customFormat="false" ht="12.8" hidden="false" customHeight="false" outlineLevel="0" collapsed="false">
      <c r="G52" s="25" t="n">
        <v>44161</v>
      </c>
      <c r="H52" s="32" t="s">
        <v>15</v>
      </c>
      <c r="I52" s="5" t="n">
        <v>-107</v>
      </c>
      <c r="J52" s="461" t="s">
        <v>845</v>
      </c>
    </row>
    <row r="53" customFormat="false" ht="12.8" hidden="false" customHeight="false" outlineLevel="0" collapsed="false">
      <c r="G53" s="25" t="n">
        <v>44161</v>
      </c>
      <c r="H53" s="26" t="s">
        <v>10</v>
      </c>
      <c r="I53" s="5" t="n">
        <v>-170</v>
      </c>
      <c r="J53" s="461" t="s">
        <v>38</v>
      </c>
    </row>
    <row r="54" customFormat="false" ht="12.8" hidden="false" customHeight="false" outlineLevel="0" collapsed="false">
      <c r="G54" s="25" t="n">
        <v>44161</v>
      </c>
      <c r="H54" s="32" t="s">
        <v>15</v>
      </c>
      <c r="I54" s="5" t="n">
        <v>170</v>
      </c>
      <c r="J54" s="461" t="s">
        <v>38</v>
      </c>
      <c r="GU54" s="1" t="n">
        <v>35750</v>
      </c>
    </row>
    <row r="55" customFormat="false" ht="12.8" hidden="false" customHeight="false" outlineLevel="0" collapsed="false">
      <c r="G55" s="25" t="n">
        <v>44162</v>
      </c>
      <c r="H55" s="26" t="s">
        <v>10</v>
      </c>
      <c r="I55" s="5" t="n">
        <v>-35</v>
      </c>
      <c r="J55" s="461" t="s">
        <v>38</v>
      </c>
    </row>
    <row r="56" customFormat="false" ht="12.8" hidden="false" customHeight="false" outlineLevel="0" collapsed="false">
      <c r="G56" s="25" t="n">
        <v>44162</v>
      </c>
      <c r="H56" s="32" t="s">
        <v>15</v>
      </c>
      <c r="I56" s="5" t="n">
        <v>35</v>
      </c>
      <c r="J56" s="461" t="s">
        <v>38</v>
      </c>
    </row>
    <row r="57" customFormat="false" ht="12.8" hidden="false" customHeight="false" outlineLevel="0" collapsed="false">
      <c r="G57" s="25" t="n">
        <v>44162</v>
      </c>
      <c r="H57" s="32" t="s">
        <v>15</v>
      </c>
      <c r="I57" s="5" t="n">
        <v>-145.37</v>
      </c>
      <c r="J57" s="461" t="s">
        <v>37</v>
      </c>
    </row>
    <row r="58" customFormat="false" ht="12.8" hidden="false" customHeight="false" outlineLevel="0" collapsed="false">
      <c r="G58" s="25" t="n">
        <v>44162</v>
      </c>
      <c r="H58" s="32" t="s">
        <v>15</v>
      </c>
      <c r="I58" s="5" t="n">
        <v>2823.12</v>
      </c>
      <c r="J58" s="461" t="s">
        <v>690</v>
      </c>
    </row>
    <row r="59" customFormat="false" ht="12.8" hidden="false" customHeight="false" outlineLevel="0" collapsed="false">
      <c r="G59" s="25" t="n">
        <v>44163</v>
      </c>
      <c r="H59" s="32" t="s">
        <v>15</v>
      </c>
      <c r="I59" s="5" t="n">
        <v>-2728</v>
      </c>
      <c r="J59" s="461" t="s">
        <v>56</v>
      </c>
    </row>
    <row r="60" customFormat="false" ht="12.8" hidden="false" customHeight="false" outlineLevel="0" collapsed="false">
      <c r="G60" s="25" t="n">
        <v>44163</v>
      </c>
      <c r="H60" s="26" t="s">
        <v>10</v>
      </c>
      <c r="I60" s="5" t="n">
        <v>2728.72</v>
      </c>
      <c r="J60" s="461" t="s">
        <v>56</v>
      </c>
    </row>
    <row r="61" customFormat="false" ht="12.8" hidden="false" customHeight="false" outlineLevel="0" collapsed="false">
      <c r="G61" s="25" t="n">
        <v>44163</v>
      </c>
      <c r="H61" s="48" t="s">
        <v>26</v>
      </c>
      <c r="I61" s="5" t="n">
        <v>-50</v>
      </c>
      <c r="J61" s="461" t="s">
        <v>707</v>
      </c>
    </row>
    <row r="62" customFormat="false" ht="12.8" hidden="false" customHeight="false" outlineLevel="0" collapsed="false">
      <c r="G62" s="25" t="n">
        <v>44163</v>
      </c>
      <c r="H62" s="52" t="s">
        <v>14</v>
      </c>
      <c r="I62" s="5" t="n">
        <v>50</v>
      </c>
      <c r="J62" s="461" t="s">
        <v>707</v>
      </c>
    </row>
    <row r="63" customFormat="false" ht="12.8" hidden="false" customHeight="false" outlineLevel="0" collapsed="false">
      <c r="G63" s="25" t="n">
        <v>44163</v>
      </c>
      <c r="H63" s="32" t="s">
        <v>15</v>
      </c>
      <c r="I63" s="5" t="n">
        <v>-106.58</v>
      </c>
      <c r="J63" s="461" t="s">
        <v>37</v>
      </c>
      <c r="K63" s="463"/>
    </row>
    <row r="64" customFormat="false" ht="12.8" hidden="false" customHeight="false" outlineLevel="0" collapsed="false">
      <c r="G64" s="3" t="n">
        <v>44164</v>
      </c>
      <c r="H64" s="26" t="s">
        <v>10</v>
      </c>
      <c r="I64" s="5" t="n">
        <v>-2117.72</v>
      </c>
      <c r="J64" s="461" t="s">
        <v>38</v>
      </c>
    </row>
    <row r="65" customFormat="false" ht="12.8" hidden="false" customHeight="false" outlineLevel="0" collapsed="false">
      <c r="G65" s="3" t="n">
        <v>44164</v>
      </c>
      <c r="H65" s="32" t="s">
        <v>15</v>
      </c>
      <c r="I65" s="5" t="n">
        <v>2117.72</v>
      </c>
      <c r="J65" s="461" t="s">
        <v>38</v>
      </c>
    </row>
    <row r="66" customFormat="false" ht="12.8" hidden="false" customHeight="false" outlineLevel="0" collapsed="false">
      <c r="G66" s="3" t="n">
        <v>44164</v>
      </c>
      <c r="H66" s="32" t="s">
        <v>15</v>
      </c>
      <c r="I66" s="5" t="n">
        <v>-2011</v>
      </c>
      <c r="J66" s="461" t="s">
        <v>38</v>
      </c>
    </row>
    <row r="67" customFormat="false" ht="12.8" hidden="false" customHeight="false" outlineLevel="0" collapsed="false">
      <c r="G67" s="3" t="n">
        <v>44164</v>
      </c>
      <c r="H67" s="48" t="s">
        <v>26</v>
      </c>
      <c r="I67" s="5" t="n">
        <v>2011</v>
      </c>
      <c r="J67" s="461" t="s">
        <v>38</v>
      </c>
    </row>
    <row r="68" customFormat="false" ht="12.8" hidden="false" customHeight="false" outlineLevel="0" collapsed="false">
      <c r="G68" s="3" t="n">
        <v>44164</v>
      </c>
      <c r="H68" s="32" t="s">
        <v>15</v>
      </c>
      <c r="I68" s="5" t="n">
        <v>-137.87</v>
      </c>
      <c r="J68" s="461" t="s">
        <v>37</v>
      </c>
    </row>
    <row r="69" customFormat="false" ht="12.8" hidden="false" customHeight="false" outlineLevel="0" collapsed="false">
      <c r="G69" s="3" t="n">
        <v>44164</v>
      </c>
      <c r="H69" s="43" t="s">
        <v>23</v>
      </c>
      <c r="I69" s="5" t="n">
        <v>-15</v>
      </c>
      <c r="J69" s="461" t="s">
        <v>846</v>
      </c>
    </row>
    <row r="70" customFormat="false" ht="12.8" hidden="false" customHeight="false" outlineLevel="0" collapsed="false">
      <c r="G70" s="3" t="n">
        <v>44164</v>
      </c>
      <c r="H70" s="32" t="s">
        <v>15</v>
      </c>
      <c r="I70" s="5" t="n">
        <v>-12</v>
      </c>
      <c r="J70" s="461" t="s">
        <v>38</v>
      </c>
    </row>
    <row r="71" customFormat="false" ht="12.8" hidden="false" customHeight="false" outlineLevel="0" collapsed="false">
      <c r="G71" s="3" t="n">
        <v>44164</v>
      </c>
      <c r="H71" s="43" t="s">
        <v>23</v>
      </c>
      <c r="I71" s="5" t="n">
        <v>12</v>
      </c>
      <c r="J71" s="461" t="s">
        <v>38</v>
      </c>
    </row>
    <row r="72" customFormat="false" ht="12.8" hidden="false" customHeight="false" outlineLevel="0" collapsed="false">
      <c r="G72" s="3" t="n">
        <v>44164</v>
      </c>
      <c r="H72" s="26" t="s">
        <v>10</v>
      </c>
      <c r="I72" s="5" t="n">
        <v>-200</v>
      </c>
      <c r="J72" s="461" t="s">
        <v>38</v>
      </c>
    </row>
    <row r="73" customFormat="false" ht="12.8" hidden="false" customHeight="false" outlineLevel="0" collapsed="false">
      <c r="G73" s="3" t="n">
        <v>44164</v>
      </c>
      <c r="H73" s="32" t="s">
        <v>15</v>
      </c>
      <c r="I73" s="5" t="n">
        <v>200</v>
      </c>
      <c r="J73" s="461" t="s">
        <v>38</v>
      </c>
      <c r="K73" s="463"/>
    </row>
    <row r="74" customFormat="false" ht="12.8" hidden="false" customHeight="false" outlineLevel="0" collapsed="false">
      <c r="G74" s="25" t="n">
        <v>44165</v>
      </c>
      <c r="H74" s="32" t="s">
        <v>15</v>
      </c>
      <c r="I74" s="5" t="n">
        <v>-138.09</v>
      </c>
      <c r="J74" s="461" t="s">
        <v>37</v>
      </c>
      <c r="K74" s="463"/>
    </row>
    <row r="75" customFormat="false" ht="12.8" hidden="false" customHeight="false" outlineLevel="0" collapsed="false">
      <c r="G75" s="25" t="n">
        <v>44165</v>
      </c>
      <c r="H75" s="52" t="s">
        <v>14</v>
      </c>
      <c r="I75" s="5" t="n">
        <v>2.61</v>
      </c>
      <c r="J75" s="6" t="s">
        <v>490</v>
      </c>
    </row>
    <row r="76" customFormat="false" ht="12.8" hidden="false" customHeight="false" outlineLevel="0" collapsed="false">
      <c r="G76" s="25" t="n">
        <v>44165</v>
      </c>
      <c r="H76" s="48" t="s">
        <v>26</v>
      </c>
      <c r="I76" s="5" t="n">
        <v>2</v>
      </c>
      <c r="J76" s="6" t="s">
        <v>480</v>
      </c>
      <c r="K76" s="463"/>
    </row>
    <row r="77" customFormat="false" ht="12.8" hidden="false" customHeight="false" outlineLevel="0" collapsed="false">
      <c r="G77" s="25" t="n">
        <v>44165</v>
      </c>
      <c r="H77" s="38" t="s">
        <v>832</v>
      </c>
      <c r="I77" s="5" t="n">
        <v>-15</v>
      </c>
      <c r="J77" s="6" t="s">
        <v>846</v>
      </c>
    </row>
    <row r="78" customFormat="false" ht="12.8" hidden="false" customHeight="false" outlineLevel="0" collapsed="false">
      <c r="G78" s="25" t="n">
        <v>44165</v>
      </c>
      <c r="H78" s="48" t="s">
        <v>26</v>
      </c>
      <c r="I78" s="5" t="n">
        <v>-13</v>
      </c>
      <c r="J78" s="461" t="s">
        <v>846</v>
      </c>
    </row>
    <row r="79" customFormat="false" ht="12.8" hidden="false" customHeight="false" outlineLevel="0" collapsed="false">
      <c r="G79" s="25" t="n">
        <v>44166</v>
      </c>
      <c r="H79" s="26" t="s">
        <v>10</v>
      </c>
      <c r="I79" s="5" t="n">
        <v>-38</v>
      </c>
      <c r="J79" s="461" t="s">
        <v>38</v>
      </c>
    </row>
    <row r="80" customFormat="false" ht="12.8" hidden="false" customHeight="false" outlineLevel="0" collapsed="false">
      <c r="G80" s="25" t="n">
        <v>44166</v>
      </c>
      <c r="H80" s="32" t="s">
        <v>15</v>
      </c>
      <c r="I80" s="5" t="n">
        <v>38</v>
      </c>
      <c r="J80" s="461" t="s">
        <v>38</v>
      </c>
    </row>
    <row r="81" customFormat="false" ht="12.8" hidden="false" customHeight="false" outlineLevel="0" collapsed="false">
      <c r="G81" s="25" t="n">
        <v>44166</v>
      </c>
      <c r="H81" s="32" t="s">
        <v>15</v>
      </c>
      <c r="I81" s="5" t="n">
        <v>-86.08</v>
      </c>
      <c r="J81" s="461" t="s">
        <v>37</v>
      </c>
    </row>
    <row r="82" customFormat="false" ht="12.8" hidden="false" customHeight="false" outlineLevel="0" collapsed="false">
      <c r="G82" s="25" t="n">
        <v>44166</v>
      </c>
      <c r="H82" s="26" t="s">
        <v>10</v>
      </c>
      <c r="I82" s="5" t="n">
        <v>-186</v>
      </c>
      <c r="J82" s="461" t="s">
        <v>38</v>
      </c>
    </row>
    <row r="83" customFormat="false" ht="12.8" hidden="false" customHeight="false" outlineLevel="0" collapsed="false">
      <c r="G83" s="25" t="n">
        <v>44166</v>
      </c>
      <c r="H83" s="32" t="s">
        <v>15</v>
      </c>
      <c r="I83" s="5" t="n">
        <v>186</v>
      </c>
      <c r="J83" s="461" t="s">
        <v>38</v>
      </c>
    </row>
    <row r="84" customFormat="false" ht="12.8" hidden="false" customHeight="false" outlineLevel="0" collapsed="false">
      <c r="G84" s="25" t="n">
        <v>44167</v>
      </c>
      <c r="H84" s="48" t="s">
        <v>26</v>
      </c>
      <c r="I84" s="5" t="n">
        <v>-2000</v>
      </c>
      <c r="J84" s="461" t="s">
        <v>38</v>
      </c>
    </row>
    <row r="85" customFormat="false" ht="12.8" hidden="false" customHeight="false" outlineLevel="0" collapsed="false">
      <c r="G85" s="25" t="n">
        <v>44167</v>
      </c>
      <c r="H85" s="32" t="s">
        <v>15</v>
      </c>
      <c r="I85" s="5" t="n">
        <v>2000</v>
      </c>
      <c r="J85" s="461" t="s">
        <v>38</v>
      </c>
    </row>
    <row r="86" customFormat="false" ht="12.8" hidden="false" customHeight="false" outlineLevel="0" collapsed="false">
      <c r="G86" s="25" t="n">
        <v>44167</v>
      </c>
      <c r="H86" s="48" t="s">
        <v>26</v>
      </c>
      <c r="I86" s="5" t="n">
        <v>-3</v>
      </c>
      <c r="J86" s="6" t="s">
        <v>847</v>
      </c>
      <c r="K86" s="463"/>
    </row>
    <row r="87" customFormat="false" ht="12.8" hidden="false" customHeight="false" outlineLevel="0" collapsed="false">
      <c r="G87" s="25" t="n">
        <v>44167</v>
      </c>
      <c r="H87" s="32" t="s">
        <v>15</v>
      </c>
      <c r="I87" s="5" t="n">
        <v>-147.06</v>
      </c>
      <c r="J87" s="461" t="s">
        <v>37</v>
      </c>
      <c r="K87" s="463"/>
    </row>
    <row r="88" customFormat="false" ht="12.8" hidden="false" customHeight="false" outlineLevel="0" collapsed="false">
      <c r="G88" s="25" t="n">
        <v>44167</v>
      </c>
      <c r="H88" s="26" t="s">
        <v>10</v>
      </c>
      <c r="I88" s="5" t="n">
        <v>-100</v>
      </c>
      <c r="J88" s="461" t="s">
        <v>38</v>
      </c>
    </row>
    <row r="89" customFormat="false" ht="12.8" hidden="false" customHeight="false" outlineLevel="0" collapsed="false">
      <c r="G89" s="25" t="n">
        <v>44168</v>
      </c>
      <c r="H89" s="32" t="s">
        <v>15</v>
      </c>
      <c r="I89" s="5" t="n">
        <v>-41.13</v>
      </c>
      <c r="J89" s="461" t="s">
        <v>37</v>
      </c>
    </row>
    <row r="90" customFormat="false" ht="12.8" hidden="false" customHeight="false" outlineLevel="0" collapsed="false">
      <c r="G90" s="25" t="n">
        <v>44168</v>
      </c>
      <c r="H90" s="32" t="s">
        <v>15</v>
      </c>
      <c r="I90" s="5" t="n">
        <v>-1862</v>
      </c>
      <c r="J90" s="461" t="s">
        <v>56</v>
      </c>
    </row>
    <row r="91" customFormat="false" ht="12.8" hidden="false" customHeight="false" outlineLevel="0" collapsed="false">
      <c r="G91" s="25" t="n">
        <v>44168</v>
      </c>
      <c r="H91" s="26" t="s">
        <v>10</v>
      </c>
      <c r="I91" s="5" t="n">
        <v>1862</v>
      </c>
      <c r="J91" s="461" t="s">
        <v>56</v>
      </c>
    </row>
    <row r="92" customFormat="false" ht="12.8" hidden="false" customHeight="false" outlineLevel="0" collapsed="false">
      <c r="G92" s="25" t="n">
        <v>44169</v>
      </c>
      <c r="H92" s="32" t="s">
        <v>15</v>
      </c>
      <c r="I92" s="5" t="n">
        <v>-50</v>
      </c>
      <c r="J92" s="461" t="s">
        <v>842</v>
      </c>
    </row>
    <row r="93" customFormat="false" ht="12.8" hidden="false" customHeight="false" outlineLevel="0" collapsed="false">
      <c r="G93" s="25" t="n">
        <v>44169</v>
      </c>
      <c r="H93" s="32" t="s">
        <v>15</v>
      </c>
      <c r="I93" s="5" t="n">
        <v>-93.32</v>
      </c>
      <c r="J93" s="461" t="s">
        <v>37</v>
      </c>
    </row>
    <row r="94" customFormat="false" ht="12.8" hidden="false" customHeight="false" outlineLevel="0" collapsed="false">
      <c r="G94" s="25" t="n">
        <v>44170</v>
      </c>
      <c r="H94" s="26" t="s">
        <v>10</v>
      </c>
      <c r="I94" s="5" t="n">
        <v>-144</v>
      </c>
      <c r="J94" s="461" t="s">
        <v>38</v>
      </c>
    </row>
    <row r="95" customFormat="false" ht="12.8" hidden="false" customHeight="false" outlineLevel="0" collapsed="false">
      <c r="G95" s="25" t="n">
        <v>44170</v>
      </c>
      <c r="H95" s="32" t="s">
        <v>15</v>
      </c>
      <c r="I95" s="5" t="n">
        <v>144</v>
      </c>
      <c r="J95" s="461" t="s">
        <v>38</v>
      </c>
    </row>
    <row r="96" customFormat="false" ht="12.8" hidden="false" customHeight="false" outlineLevel="0" collapsed="false">
      <c r="G96" s="25" t="n">
        <v>44170</v>
      </c>
      <c r="H96" s="32" t="s">
        <v>15</v>
      </c>
      <c r="I96" s="5" t="n">
        <v>-116.44</v>
      </c>
      <c r="J96" s="461" t="s">
        <v>37</v>
      </c>
    </row>
    <row r="97" customFormat="false" ht="12.8" hidden="false" customHeight="false" outlineLevel="0" collapsed="false">
      <c r="G97" s="25" t="n">
        <v>44171</v>
      </c>
      <c r="H97" s="26" t="s">
        <v>10</v>
      </c>
      <c r="I97" s="5" t="n">
        <v>-66</v>
      </c>
      <c r="J97" s="461" t="s">
        <v>38</v>
      </c>
    </row>
    <row r="98" customFormat="false" ht="12.8" hidden="false" customHeight="false" outlineLevel="0" collapsed="false">
      <c r="G98" s="25" t="n">
        <v>44171</v>
      </c>
      <c r="H98" s="32" t="s">
        <v>15</v>
      </c>
      <c r="I98" s="5" t="n">
        <v>66</v>
      </c>
      <c r="J98" s="461" t="s">
        <v>38</v>
      </c>
    </row>
    <row r="99" customFormat="false" ht="12.8" hidden="false" customHeight="false" outlineLevel="0" collapsed="false">
      <c r="G99" s="25" t="n">
        <v>44171</v>
      </c>
      <c r="H99" s="32" t="s">
        <v>15</v>
      </c>
      <c r="I99" s="5" t="n">
        <v>-83.86</v>
      </c>
      <c r="J99" s="461" t="s">
        <v>37</v>
      </c>
    </row>
    <row r="100" customFormat="false" ht="12.8" hidden="false" customHeight="false" outlineLevel="0" collapsed="false">
      <c r="G100" s="25" t="n">
        <v>44172</v>
      </c>
      <c r="H100" s="26" t="s">
        <v>10</v>
      </c>
      <c r="I100" s="5" t="n">
        <v>-734</v>
      </c>
      <c r="J100" s="461" t="s">
        <v>38</v>
      </c>
    </row>
    <row r="101" customFormat="false" ht="12.8" hidden="false" customHeight="false" outlineLevel="0" collapsed="false">
      <c r="G101" s="25" t="n">
        <v>44172</v>
      </c>
      <c r="H101" s="32" t="s">
        <v>15</v>
      </c>
      <c r="I101" s="5" t="n">
        <v>734</v>
      </c>
      <c r="J101" s="461" t="s">
        <v>38</v>
      </c>
    </row>
    <row r="102" customFormat="false" ht="12.8" hidden="false" customHeight="false" outlineLevel="0" collapsed="false">
      <c r="G102" s="25" t="n">
        <v>44172</v>
      </c>
      <c r="H102" s="32" t="s">
        <v>15</v>
      </c>
      <c r="I102" s="5" t="n">
        <v>-600</v>
      </c>
      <c r="J102" s="461" t="s">
        <v>848</v>
      </c>
    </row>
    <row r="103" customFormat="false" ht="12.8" hidden="false" customHeight="false" outlineLevel="0" collapsed="false">
      <c r="G103" s="25" t="n">
        <v>44172</v>
      </c>
      <c r="H103" s="32" t="s">
        <v>15</v>
      </c>
      <c r="I103" s="5" t="n">
        <v>-88.69</v>
      </c>
      <c r="J103" s="461" t="s">
        <v>37</v>
      </c>
    </row>
    <row r="104" customFormat="false" ht="12.8" hidden="false" customHeight="false" outlineLevel="0" collapsed="false">
      <c r="G104" s="25" t="n">
        <v>44173</v>
      </c>
      <c r="H104" s="26" t="s">
        <v>10</v>
      </c>
      <c r="I104" s="5" t="n">
        <v>-489</v>
      </c>
      <c r="J104" s="461" t="s">
        <v>38</v>
      </c>
    </row>
    <row r="105" customFormat="false" ht="12.8" hidden="false" customHeight="false" outlineLevel="0" collapsed="false">
      <c r="G105" s="25" t="n">
        <v>44173</v>
      </c>
      <c r="H105" s="32" t="s">
        <v>15</v>
      </c>
      <c r="I105" s="5" t="n">
        <v>489</v>
      </c>
      <c r="J105" s="461" t="s">
        <v>38</v>
      </c>
    </row>
    <row r="106" customFormat="false" ht="12.8" hidden="false" customHeight="false" outlineLevel="0" collapsed="false">
      <c r="G106" s="25" t="n">
        <v>44173</v>
      </c>
      <c r="H106" s="32" t="s">
        <v>15</v>
      </c>
      <c r="I106" s="5" t="n">
        <v>-400</v>
      </c>
      <c r="J106" s="461" t="s">
        <v>849</v>
      </c>
    </row>
    <row r="107" customFormat="false" ht="12.8" hidden="false" customHeight="false" outlineLevel="0" collapsed="false">
      <c r="G107" s="25" t="n">
        <v>44173</v>
      </c>
      <c r="H107" s="32" t="s">
        <v>15</v>
      </c>
      <c r="I107" s="5" t="n">
        <v>-126.45</v>
      </c>
      <c r="J107" s="461" t="s">
        <v>37</v>
      </c>
    </row>
    <row r="108" customFormat="false" ht="12.8" hidden="false" customHeight="false" outlineLevel="0" collapsed="false">
      <c r="G108" s="25" t="n">
        <v>44174</v>
      </c>
      <c r="H108" s="26" t="s">
        <v>10</v>
      </c>
      <c r="I108" s="5" t="n">
        <v>-76</v>
      </c>
      <c r="J108" s="461" t="s">
        <v>38</v>
      </c>
    </row>
    <row r="109" customFormat="false" ht="12.8" hidden="false" customHeight="false" outlineLevel="0" collapsed="false">
      <c r="G109" s="25" t="n">
        <v>44174</v>
      </c>
      <c r="H109" s="32" t="s">
        <v>15</v>
      </c>
      <c r="I109" s="5" t="n">
        <v>76</v>
      </c>
      <c r="J109" s="461" t="s">
        <v>38</v>
      </c>
    </row>
    <row r="110" customFormat="false" ht="12.8" hidden="false" customHeight="false" outlineLevel="0" collapsed="false">
      <c r="G110" s="25" t="n">
        <v>44174</v>
      </c>
      <c r="H110" s="32" t="s">
        <v>15</v>
      </c>
      <c r="I110" s="5" t="n">
        <v>-96.47</v>
      </c>
      <c r="J110" s="461" t="s">
        <v>37</v>
      </c>
    </row>
    <row r="111" customFormat="false" ht="12.8" hidden="false" customHeight="false" outlineLevel="0" collapsed="false">
      <c r="G111" s="25" t="n">
        <v>44175</v>
      </c>
      <c r="H111" s="26" t="s">
        <v>10</v>
      </c>
      <c r="I111" s="5" t="n">
        <v>-146</v>
      </c>
      <c r="J111" s="461" t="s">
        <v>38</v>
      </c>
    </row>
    <row r="112" customFormat="false" ht="12.8" hidden="false" customHeight="false" outlineLevel="0" collapsed="false">
      <c r="G112" s="25" t="n">
        <v>44175</v>
      </c>
      <c r="H112" s="32" t="s">
        <v>15</v>
      </c>
      <c r="I112" s="5" t="n">
        <v>146</v>
      </c>
      <c r="J112" s="461" t="s">
        <v>38</v>
      </c>
    </row>
    <row r="113" customFormat="false" ht="12.8" hidden="false" customHeight="false" outlineLevel="0" collapsed="false">
      <c r="G113" s="25" t="n">
        <v>44175</v>
      </c>
      <c r="H113" s="32" t="s">
        <v>15</v>
      </c>
      <c r="I113" s="5" t="n">
        <v>-110.5</v>
      </c>
      <c r="J113" s="461" t="s">
        <v>37</v>
      </c>
    </row>
    <row r="114" customFormat="false" ht="12.8" hidden="false" customHeight="false" outlineLevel="0" collapsed="false">
      <c r="G114" s="25" t="n">
        <v>44176</v>
      </c>
      <c r="H114" s="26" t="s">
        <v>10</v>
      </c>
      <c r="I114" s="5" t="n">
        <v>-61</v>
      </c>
      <c r="J114" s="461" t="s">
        <v>38</v>
      </c>
    </row>
    <row r="115" customFormat="false" ht="12.8" hidden="false" customHeight="false" outlineLevel="0" collapsed="false">
      <c r="G115" s="25" t="n">
        <v>44176</v>
      </c>
      <c r="H115" s="32" t="s">
        <v>15</v>
      </c>
      <c r="I115" s="5" t="n">
        <v>61</v>
      </c>
      <c r="J115" s="461" t="s">
        <v>38</v>
      </c>
    </row>
    <row r="116" customFormat="false" ht="12.8" hidden="false" customHeight="false" outlineLevel="0" collapsed="false">
      <c r="G116" s="25" t="n">
        <v>44176</v>
      </c>
      <c r="H116" s="32" t="s">
        <v>15</v>
      </c>
      <c r="I116" s="5" t="n">
        <v>-89.9</v>
      </c>
      <c r="J116" s="461" t="s">
        <v>37</v>
      </c>
    </row>
    <row r="117" customFormat="false" ht="12.8" hidden="false" customHeight="false" outlineLevel="0" collapsed="false">
      <c r="G117" s="25" t="n">
        <v>44177</v>
      </c>
      <c r="H117" s="26" t="s">
        <v>10</v>
      </c>
      <c r="I117" s="5" t="n">
        <v>-90</v>
      </c>
      <c r="J117" s="461" t="s">
        <v>38</v>
      </c>
    </row>
    <row r="118" customFormat="false" ht="12.8" hidden="false" customHeight="false" outlineLevel="0" collapsed="false">
      <c r="G118" s="25" t="n">
        <v>44177</v>
      </c>
      <c r="H118" s="32" t="s">
        <v>15</v>
      </c>
      <c r="I118" s="5" t="n">
        <v>90</v>
      </c>
      <c r="J118" s="461" t="s">
        <v>38</v>
      </c>
    </row>
    <row r="119" customFormat="false" ht="12.8" hidden="false" customHeight="false" outlineLevel="0" collapsed="false">
      <c r="G119" s="25" t="n">
        <v>44177</v>
      </c>
      <c r="H119" s="32" t="s">
        <v>15</v>
      </c>
      <c r="I119" s="5" t="n">
        <v>-83.05</v>
      </c>
      <c r="J119" s="461" t="s">
        <v>37</v>
      </c>
    </row>
    <row r="120" customFormat="false" ht="12.8" hidden="false" customHeight="false" outlineLevel="0" collapsed="false">
      <c r="G120" s="25" t="n">
        <v>44178</v>
      </c>
      <c r="H120" s="26" t="s">
        <v>10</v>
      </c>
      <c r="I120" s="5" t="n">
        <v>-83</v>
      </c>
      <c r="J120" s="461" t="s">
        <v>38</v>
      </c>
    </row>
    <row r="121" customFormat="false" ht="12.8" hidden="false" customHeight="false" outlineLevel="0" collapsed="false">
      <c r="G121" s="25" t="n">
        <v>44178</v>
      </c>
      <c r="H121" s="32" t="s">
        <v>15</v>
      </c>
      <c r="I121" s="5" t="n">
        <v>83</v>
      </c>
      <c r="J121" s="461" t="s">
        <v>38</v>
      </c>
    </row>
    <row r="122" customFormat="false" ht="12.8" hidden="false" customHeight="false" outlineLevel="0" collapsed="false">
      <c r="G122" s="25" t="n">
        <v>44178</v>
      </c>
      <c r="H122" s="32" t="s">
        <v>15</v>
      </c>
      <c r="I122" s="5" t="n">
        <v>-84.1</v>
      </c>
      <c r="J122" s="461" t="s">
        <v>37</v>
      </c>
    </row>
    <row r="123" customFormat="false" ht="12.8" hidden="false" customHeight="false" outlineLevel="0" collapsed="false">
      <c r="G123" s="25" t="n">
        <v>44179</v>
      </c>
      <c r="H123" s="26" t="s">
        <v>10</v>
      </c>
      <c r="I123" s="5" t="n">
        <v>-84</v>
      </c>
      <c r="J123" s="461" t="s">
        <v>38</v>
      </c>
    </row>
    <row r="124" customFormat="false" ht="12.8" hidden="false" customHeight="false" outlineLevel="0" collapsed="false">
      <c r="G124" s="25" t="n">
        <v>44179</v>
      </c>
      <c r="H124" s="32" t="s">
        <v>15</v>
      </c>
      <c r="I124" s="5" t="n">
        <v>84</v>
      </c>
      <c r="J124" s="461" t="s">
        <v>38</v>
      </c>
    </row>
    <row r="125" customFormat="false" ht="12.8" hidden="false" customHeight="false" outlineLevel="0" collapsed="false">
      <c r="G125" s="25" t="n">
        <v>44179</v>
      </c>
      <c r="H125" s="32" t="s">
        <v>15</v>
      </c>
      <c r="I125" s="5" t="n">
        <v>-97.69</v>
      </c>
      <c r="J125" s="461" t="s">
        <v>37</v>
      </c>
    </row>
    <row r="126" customFormat="false" ht="12.8" hidden="false" customHeight="false" outlineLevel="0" collapsed="false">
      <c r="G126" s="25" t="n">
        <v>44180</v>
      </c>
      <c r="H126" s="26" t="s">
        <v>10</v>
      </c>
      <c r="I126" s="5" t="n">
        <v>-198</v>
      </c>
      <c r="J126" s="461" t="s">
        <v>38</v>
      </c>
    </row>
    <row r="127" customFormat="false" ht="12.8" hidden="false" customHeight="false" outlineLevel="0" collapsed="false">
      <c r="G127" s="25" t="n">
        <v>44180</v>
      </c>
      <c r="H127" s="32" t="s">
        <v>15</v>
      </c>
      <c r="I127" s="5" t="n">
        <v>198</v>
      </c>
      <c r="J127" s="461" t="s">
        <v>38</v>
      </c>
    </row>
    <row r="128" customFormat="false" ht="12.8" hidden="false" customHeight="false" outlineLevel="0" collapsed="false">
      <c r="G128" s="25" t="n">
        <v>44180</v>
      </c>
      <c r="H128" s="32" t="s">
        <v>15</v>
      </c>
      <c r="I128" s="5" t="n">
        <v>-88.83</v>
      </c>
      <c r="J128" s="461" t="s">
        <v>37</v>
      </c>
    </row>
    <row r="129" customFormat="false" ht="12.8" hidden="false" customHeight="false" outlineLevel="0" collapsed="false">
      <c r="G129" s="25" t="n">
        <v>44180</v>
      </c>
      <c r="H129" s="32" t="s">
        <v>15</v>
      </c>
      <c r="I129" s="5" t="n">
        <v>-50</v>
      </c>
      <c r="J129" s="461" t="s">
        <v>842</v>
      </c>
    </row>
    <row r="130" customFormat="false" ht="12.8" hidden="false" customHeight="false" outlineLevel="0" collapsed="false">
      <c r="G130" s="25" t="n">
        <v>44181</v>
      </c>
      <c r="H130" s="26" t="s">
        <v>10</v>
      </c>
      <c r="I130" s="5" t="n">
        <v>-89</v>
      </c>
      <c r="J130" s="461" t="s">
        <v>38</v>
      </c>
    </row>
    <row r="131" customFormat="false" ht="12.8" hidden="false" customHeight="false" outlineLevel="0" collapsed="false">
      <c r="G131" s="25" t="n">
        <v>44181</v>
      </c>
      <c r="H131" s="32" t="s">
        <v>15</v>
      </c>
      <c r="I131" s="5" t="n">
        <v>89</v>
      </c>
      <c r="J131" s="461" t="s">
        <v>38</v>
      </c>
    </row>
    <row r="132" customFormat="false" ht="12.8" hidden="false" customHeight="false" outlineLevel="0" collapsed="false">
      <c r="G132" s="25" t="n">
        <v>44181</v>
      </c>
      <c r="H132" s="26" t="s">
        <v>10</v>
      </c>
      <c r="I132" s="5" t="n">
        <v>-100</v>
      </c>
      <c r="J132" s="461" t="s">
        <v>38</v>
      </c>
    </row>
    <row r="133" customFormat="false" ht="12.8" hidden="false" customHeight="false" outlineLevel="0" collapsed="false">
      <c r="G133" s="25" t="n">
        <v>44181</v>
      </c>
      <c r="H133" s="32" t="s">
        <v>15</v>
      </c>
      <c r="I133" s="5" t="n">
        <v>100</v>
      </c>
      <c r="J133" s="461" t="s">
        <v>38</v>
      </c>
    </row>
    <row r="134" customFormat="false" ht="12.8" hidden="false" customHeight="false" outlineLevel="0" collapsed="false">
      <c r="G134" s="25" t="n">
        <v>44181</v>
      </c>
      <c r="H134" s="32" t="s">
        <v>15</v>
      </c>
      <c r="I134" s="5" t="n">
        <v>-113.92</v>
      </c>
      <c r="J134" s="461" t="s">
        <v>37</v>
      </c>
    </row>
    <row r="135" customFormat="false" ht="12.8" hidden="false" customHeight="false" outlineLevel="0" collapsed="false">
      <c r="G135" s="25" t="n">
        <v>44182</v>
      </c>
      <c r="H135" s="32" t="s">
        <v>15</v>
      </c>
      <c r="I135" s="5" t="n">
        <v>-117.18</v>
      </c>
      <c r="J135" s="461" t="s">
        <v>37</v>
      </c>
    </row>
    <row r="136" customFormat="false" ht="12.8" hidden="false" customHeight="false" outlineLevel="0" collapsed="false">
      <c r="G136" s="25" t="n">
        <v>44183</v>
      </c>
      <c r="H136" s="26" t="s">
        <v>10</v>
      </c>
      <c r="I136" s="5" t="n">
        <v>-131</v>
      </c>
      <c r="J136" s="461" t="s">
        <v>38</v>
      </c>
    </row>
    <row r="137" customFormat="false" ht="12.8" hidden="false" customHeight="false" outlineLevel="0" collapsed="false">
      <c r="G137" s="25" t="n">
        <v>44183</v>
      </c>
      <c r="H137" s="32" t="s">
        <v>15</v>
      </c>
      <c r="I137" s="5" t="n">
        <v>131</v>
      </c>
      <c r="J137" s="461" t="s">
        <v>38</v>
      </c>
    </row>
    <row r="138" customFormat="false" ht="12.8" hidden="false" customHeight="false" outlineLevel="0" collapsed="false">
      <c r="G138" s="25" t="n">
        <v>44183</v>
      </c>
      <c r="H138" s="32" t="s">
        <v>15</v>
      </c>
      <c r="I138" s="5" t="n">
        <v>-130.95</v>
      </c>
      <c r="J138" s="461" t="s">
        <v>37</v>
      </c>
    </row>
    <row r="139" customFormat="false" ht="12.8" hidden="false" customHeight="false" outlineLevel="0" collapsed="false">
      <c r="G139" s="25" t="n">
        <v>44184</v>
      </c>
      <c r="H139" s="26" t="s">
        <v>10</v>
      </c>
      <c r="I139" s="5" t="n">
        <v>-81</v>
      </c>
      <c r="J139" s="461" t="s">
        <v>38</v>
      </c>
    </row>
    <row r="140" customFormat="false" ht="12.8" hidden="false" customHeight="false" outlineLevel="0" collapsed="false">
      <c r="G140" s="25" t="n">
        <v>44184</v>
      </c>
      <c r="H140" s="32" t="s">
        <v>15</v>
      </c>
      <c r="I140" s="5" t="n">
        <v>81</v>
      </c>
      <c r="J140" s="461" t="s">
        <v>38</v>
      </c>
    </row>
    <row r="141" customFormat="false" ht="12.8" hidden="false" customHeight="false" outlineLevel="0" collapsed="false">
      <c r="G141" s="25" t="n">
        <v>44184</v>
      </c>
      <c r="H141" s="32" t="s">
        <v>15</v>
      </c>
      <c r="I141" s="5" t="n">
        <v>-85.18</v>
      </c>
      <c r="J141" s="461" t="s">
        <v>37</v>
      </c>
    </row>
    <row r="142" customFormat="false" ht="12.8" hidden="false" customHeight="false" outlineLevel="0" collapsed="false">
      <c r="G142" s="25" t="n">
        <v>44185</v>
      </c>
      <c r="H142" s="26" t="s">
        <v>10</v>
      </c>
      <c r="I142" s="5" t="n">
        <v>-85</v>
      </c>
      <c r="J142" s="461" t="s">
        <v>38</v>
      </c>
    </row>
    <row r="143" customFormat="false" ht="12.8" hidden="false" customHeight="false" outlineLevel="0" collapsed="false">
      <c r="G143" s="25" t="n">
        <v>44185</v>
      </c>
      <c r="H143" s="32" t="s">
        <v>15</v>
      </c>
      <c r="I143" s="5" t="n">
        <v>85</v>
      </c>
      <c r="J143" s="461" t="s">
        <v>38</v>
      </c>
    </row>
    <row r="144" customFormat="false" ht="12.8" hidden="false" customHeight="false" outlineLevel="0" collapsed="false">
      <c r="G144" s="25" t="n">
        <v>44185</v>
      </c>
      <c r="H144" s="32" t="s">
        <v>15</v>
      </c>
      <c r="I144" s="5" t="n">
        <v>-89.5</v>
      </c>
      <c r="J144" s="461" t="s">
        <v>37</v>
      </c>
    </row>
    <row r="145" customFormat="false" ht="12.8" hidden="false" customHeight="false" outlineLevel="0" collapsed="false">
      <c r="G145" s="25" t="n">
        <v>44186</v>
      </c>
      <c r="H145" s="52" t="s">
        <v>14</v>
      </c>
      <c r="I145" s="5" t="n">
        <v>-745</v>
      </c>
      <c r="J145" s="461" t="s">
        <v>480</v>
      </c>
    </row>
    <row r="146" customFormat="false" ht="12.8" hidden="false" customHeight="false" outlineLevel="0" collapsed="false">
      <c r="G146" s="25" t="n">
        <v>44186</v>
      </c>
      <c r="H146" s="48" t="s">
        <v>26</v>
      </c>
      <c r="I146" s="5" t="n">
        <v>745</v>
      </c>
      <c r="J146" s="461" t="s">
        <v>850</v>
      </c>
    </row>
    <row r="147" customFormat="false" ht="12.8" hidden="false" customHeight="false" outlineLevel="0" collapsed="false">
      <c r="G147" s="25" t="n">
        <v>44186</v>
      </c>
      <c r="H147" s="48" t="s">
        <v>26</v>
      </c>
      <c r="I147" s="5" t="n">
        <v>-15</v>
      </c>
      <c r="J147" s="461" t="s">
        <v>851</v>
      </c>
    </row>
    <row r="148" customFormat="false" ht="12.8" hidden="false" customHeight="false" outlineLevel="0" collapsed="false">
      <c r="G148" s="25" t="n">
        <v>44186</v>
      </c>
      <c r="H148" s="38" t="s">
        <v>832</v>
      </c>
      <c r="I148" s="5" t="n">
        <v>15</v>
      </c>
      <c r="J148" s="461" t="s">
        <v>851</v>
      </c>
      <c r="K148" s="464"/>
    </row>
    <row r="149" customFormat="false" ht="12.8" hidden="false" customHeight="false" outlineLevel="0" collapsed="false">
      <c r="G149" s="25" t="n">
        <v>44186</v>
      </c>
      <c r="H149" s="48" t="s">
        <v>26</v>
      </c>
      <c r="I149" s="5" t="n">
        <v>-155.34</v>
      </c>
      <c r="J149" s="461" t="s">
        <v>47</v>
      </c>
      <c r="K149" s="464"/>
    </row>
    <row r="150" customFormat="false" ht="12.8" hidden="false" customHeight="false" outlineLevel="0" collapsed="false">
      <c r="G150" s="25" t="n">
        <v>44186</v>
      </c>
      <c r="H150" s="48" t="s">
        <v>26</v>
      </c>
      <c r="I150" s="5" t="n">
        <v>-351.61</v>
      </c>
      <c r="J150" s="461" t="s">
        <v>843</v>
      </c>
    </row>
    <row r="151" customFormat="false" ht="12.8" hidden="false" customHeight="false" outlineLevel="0" collapsed="false">
      <c r="G151" s="25" t="n">
        <v>44186</v>
      </c>
      <c r="H151" s="48" t="s">
        <v>26</v>
      </c>
      <c r="I151" s="5" t="n">
        <v>-87.59</v>
      </c>
      <c r="J151" s="461" t="s">
        <v>53</v>
      </c>
    </row>
    <row r="152" customFormat="false" ht="12.8" hidden="false" customHeight="false" outlineLevel="0" collapsed="false">
      <c r="G152" s="25" t="n">
        <v>44186</v>
      </c>
      <c r="H152" s="48" t="s">
        <v>26</v>
      </c>
      <c r="I152" s="5" t="n">
        <v>-65</v>
      </c>
      <c r="J152" s="461" t="s">
        <v>844</v>
      </c>
    </row>
    <row r="153" customFormat="false" ht="12.8" hidden="false" customHeight="false" outlineLevel="0" collapsed="false">
      <c r="G153" s="25" t="n">
        <v>44186</v>
      </c>
      <c r="H153" s="26" t="s">
        <v>10</v>
      </c>
      <c r="I153" s="5" t="n">
        <v>-89</v>
      </c>
      <c r="J153" s="461" t="s">
        <v>38</v>
      </c>
      <c r="K153" s="464"/>
    </row>
    <row r="154" customFormat="false" ht="12.8" hidden="false" customHeight="false" outlineLevel="0" collapsed="false">
      <c r="G154" s="25" t="n">
        <v>44186</v>
      </c>
      <c r="H154" s="32" t="s">
        <v>15</v>
      </c>
      <c r="I154" s="5" t="n">
        <v>89</v>
      </c>
      <c r="J154" s="461" t="s">
        <v>38</v>
      </c>
    </row>
    <row r="155" customFormat="false" ht="12.8" hidden="false" customHeight="false" outlineLevel="0" collapsed="false">
      <c r="G155" s="25" t="n">
        <v>44186</v>
      </c>
      <c r="H155" s="32" t="s">
        <v>15</v>
      </c>
      <c r="I155" s="5" t="n">
        <v>-96.63</v>
      </c>
      <c r="J155" s="461" t="s">
        <v>37</v>
      </c>
      <c r="K155" s="464"/>
    </row>
    <row r="156" customFormat="false" ht="12.8" hidden="false" customHeight="false" outlineLevel="0" collapsed="false">
      <c r="G156" s="25" t="n">
        <v>44187</v>
      </c>
      <c r="H156" s="26" t="s">
        <v>10</v>
      </c>
      <c r="I156" s="5" t="n">
        <v>-147</v>
      </c>
      <c r="J156" s="461" t="s">
        <v>38</v>
      </c>
      <c r="K156" s="464"/>
    </row>
    <row r="157" customFormat="false" ht="12.8" hidden="false" customHeight="false" outlineLevel="0" collapsed="false">
      <c r="G157" s="25" t="n">
        <v>44187</v>
      </c>
      <c r="H157" s="32" t="s">
        <v>15</v>
      </c>
      <c r="I157" s="5" t="n">
        <v>147</v>
      </c>
      <c r="J157" s="461" t="s">
        <v>38</v>
      </c>
      <c r="K157" s="465"/>
    </row>
    <row r="158" customFormat="false" ht="12.8" hidden="false" customHeight="false" outlineLevel="0" collapsed="false">
      <c r="G158" s="25" t="n">
        <v>44187</v>
      </c>
      <c r="H158" s="32" t="s">
        <v>15</v>
      </c>
      <c r="I158" s="5" t="n">
        <v>-127.76</v>
      </c>
      <c r="J158" s="461" t="s">
        <v>37</v>
      </c>
      <c r="K158" s="464"/>
    </row>
    <row r="159" customFormat="false" ht="12.8" hidden="false" customHeight="false" outlineLevel="0" collapsed="false">
      <c r="G159" s="25" t="n">
        <v>44188</v>
      </c>
      <c r="H159" s="52" t="s">
        <v>14</v>
      </c>
      <c r="I159" s="5" t="n">
        <v>-400</v>
      </c>
      <c r="J159" s="461" t="s">
        <v>38</v>
      </c>
      <c r="K159" s="464"/>
    </row>
    <row r="160" customFormat="false" ht="12.8" hidden="false" customHeight="false" outlineLevel="0" collapsed="false">
      <c r="G160" s="25" t="n">
        <v>44188</v>
      </c>
      <c r="H160" s="48" t="s">
        <v>26</v>
      </c>
      <c r="I160" s="5" t="n">
        <v>400</v>
      </c>
      <c r="J160" s="461" t="s">
        <v>38</v>
      </c>
      <c r="K160" s="464"/>
    </row>
    <row r="161" customFormat="false" ht="12.8" hidden="false" customHeight="false" outlineLevel="0" collapsed="false">
      <c r="G161" s="25" t="n">
        <v>44188</v>
      </c>
      <c r="H161" s="48" t="s">
        <v>26</v>
      </c>
      <c r="I161" s="5" t="n">
        <v>-223.38</v>
      </c>
      <c r="J161" s="461" t="s">
        <v>852</v>
      </c>
      <c r="K161" s="464"/>
    </row>
    <row r="162" customFormat="false" ht="12.8" hidden="false" customHeight="false" outlineLevel="0" collapsed="false">
      <c r="G162" s="25" t="n">
        <v>44188</v>
      </c>
      <c r="H162" s="48" t="s">
        <v>26</v>
      </c>
      <c r="I162" s="5" t="n">
        <v>-169.79</v>
      </c>
      <c r="J162" s="461" t="s">
        <v>37</v>
      </c>
      <c r="K162" s="464"/>
    </row>
    <row r="163" customFormat="false" ht="12.8" hidden="false" customHeight="false" outlineLevel="0" collapsed="false">
      <c r="G163" s="25" t="n">
        <v>44188</v>
      </c>
      <c r="H163" s="43" t="s">
        <v>23</v>
      </c>
      <c r="I163" s="5" t="n">
        <v>-5</v>
      </c>
      <c r="J163" s="461" t="s">
        <v>846</v>
      </c>
      <c r="K163" s="464"/>
    </row>
    <row r="164" customFormat="false" ht="12.8" hidden="false" customHeight="false" outlineLevel="0" collapsed="false">
      <c r="G164" s="25" t="n">
        <v>44189</v>
      </c>
      <c r="H164" s="26" t="s">
        <v>10</v>
      </c>
      <c r="I164" s="5" t="n">
        <v>-178</v>
      </c>
      <c r="J164" s="461" t="s">
        <v>38</v>
      </c>
      <c r="K164" s="464"/>
    </row>
    <row r="165" customFormat="false" ht="12.8" hidden="false" customHeight="false" outlineLevel="0" collapsed="false">
      <c r="G165" s="25" t="n">
        <v>44189</v>
      </c>
      <c r="H165" s="32" t="s">
        <v>15</v>
      </c>
      <c r="I165" s="5" t="n">
        <v>178</v>
      </c>
      <c r="J165" s="461" t="s">
        <v>38</v>
      </c>
      <c r="K165" s="464"/>
    </row>
    <row r="166" customFormat="false" ht="12.8" hidden="false" customHeight="false" outlineLevel="0" collapsed="false">
      <c r="G166" s="25" t="n">
        <v>44189</v>
      </c>
      <c r="H166" s="52" t="s">
        <v>14</v>
      </c>
      <c r="I166" s="5" t="n">
        <v>-64</v>
      </c>
      <c r="J166" s="461" t="s">
        <v>38</v>
      </c>
      <c r="K166" s="464"/>
    </row>
    <row r="167" customFormat="false" ht="12.8" hidden="false" customHeight="false" outlineLevel="0" collapsed="false">
      <c r="G167" s="25" t="n">
        <v>44189</v>
      </c>
      <c r="H167" s="48" t="s">
        <v>26</v>
      </c>
      <c r="I167" s="5" t="n">
        <v>64</v>
      </c>
      <c r="J167" s="461" t="s">
        <v>38</v>
      </c>
    </row>
    <row r="168" customFormat="false" ht="12.8" hidden="false" customHeight="false" outlineLevel="0" collapsed="false">
      <c r="G168" s="25" t="n">
        <v>44189</v>
      </c>
      <c r="H168" s="48" t="s">
        <v>26</v>
      </c>
      <c r="I168" s="5" t="n">
        <v>-131.18</v>
      </c>
      <c r="J168" s="461" t="s">
        <v>37</v>
      </c>
    </row>
    <row r="169" customFormat="false" ht="12.8" hidden="false" customHeight="false" outlineLevel="0" collapsed="false">
      <c r="G169" s="25" t="n">
        <v>44190</v>
      </c>
      <c r="H169" s="32" t="s">
        <v>15</v>
      </c>
      <c r="I169" s="5" t="n">
        <v>-200</v>
      </c>
      <c r="J169" s="461" t="s">
        <v>853</v>
      </c>
    </row>
    <row r="170" customFormat="false" ht="12.8" hidden="false" customHeight="false" outlineLevel="0" collapsed="false">
      <c r="G170" s="25" t="n">
        <v>44190</v>
      </c>
      <c r="H170" s="466" t="s">
        <v>21</v>
      </c>
      <c r="I170" s="5" t="n">
        <v>9679</v>
      </c>
      <c r="J170" s="6" t="s">
        <v>854</v>
      </c>
    </row>
    <row r="171" customFormat="false" ht="12.8" hidden="false" customHeight="false" outlineLevel="0" collapsed="false">
      <c r="G171" s="25" t="n">
        <v>44191</v>
      </c>
      <c r="H171" s="52" t="s">
        <v>14</v>
      </c>
      <c r="I171" s="5" t="n">
        <v>-127.2</v>
      </c>
      <c r="J171" s="461" t="s">
        <v>38</v>
      </c>
    </row>
    <row r="172" customFormat="false" ht="12.8" hidden="false" customHeight="false" outlineLevel="0" collapsed="false">
      <c r="G172" s="25" t="n">
        <v>44191</v>
      </c>
      <c r="H172" s="48" t="s">
        <v>26</v>
      </c>
      <c r="I172" s="5" t="n">
        <v>131</v>
      </c>
      <c r="J172" s="461" t="s">
        <v>38</v>
      </c>
    </row>
    <row r="173" customFormat="false" ht="12.8" hidden="false" customHeight="false" outlineLevel="0" collapsed="false">
      <c r="G173" s="25" t="n">
        <v>44191</v>
      </c>
      <c r="H173" s="48" t="s">
        <v>26</v>
      </c>
      <c r="I173" s="5" t="n">
        <v>-128.94</v>
      </c>
      <c r="J173" s="461" t="s">
        <v>37</v>
      </c>
    </row>
    <row r="174" customFormat="false" ht="12.8" hidden="false" customHeight="false" outlineLevel="0" collapsed="false">
      <c r="G174" s="25" t="n">
        <v>44192</v>
      </c>
      <c r="H174" s="52" t="s">
        <v>14</v>
      </c>
      <c r="I174" s="5" t="n">
        <v>-179</v>
      </c>
      <c r="J174" s="461" t="s">
        <v>38</v>
      </c>
    </row>
    <row r="175" customFormat="false" ht="12.8" hidden="false" customHeight="false" outlineLevel="0" collapsed="false">
      <c r="G175" s="25" t="n">
        <v>44192</v>
      </c>
      <c r="H175" s="48" t="s">
        <v>26</v>
      </c>
      <c r="I175" s="5" t="n">
        <v>179</v>
      </c>
      <c r="J175" s="461" t="s">
        <v>38</v>
      </c>
    </row>
    <row r="176" customFormat="false" ht="12.8" hidden="false" customHeight="false" outlineLevel="0" collapsed="false">
      <c r="G176" s="25" t="n">
        <v>44192</v>
      </c>
      <c r="H176" s="48" t="s">
        <v>26</v>
      </c>
      <c r="I176" s="5" t="n">
        <v>-90.06</v>
      </c>
      <c r="J176" s="461" t="s">
        <v>37</v>
      </c>
    </row>
    <row r="177" customFormat="false" ht="12.8" hidden="false" customHeight="false" outlineLevel="0" collapsed="false">
      <c r="G177" s="25" t="n">
        <v>44193</v>
      </c>
      <c r="H177" s="48" t="s">
        <v>26</v>
      </c>
      <c r="I177" s="5" t="n">
        <v>-50</v>
      </c>
      <c r="J177" s="461" t="s">
        <v>707</v>
      </c>
    </row>
    <row r="178" customFormat="false" ht="12.8" hidden="false" customHeight="false" outlineLevel="0" collapsed="false">
      <c r="G178" s="25" t="n">
        <v>44193</v>
      </c>
      <c r="H178" s="52" t="s">
        <v>14</v>
      </c>
      <c r="I178" s="5" t="n">
        <v>50</v>
      </c>
      <c r="J178" s="461" t="s">
        <v>707</v>
      </c>
    </row>
    <row r="179" customFormat="false" ht="12.8" hidden="false" customHeight="false" outlineLevel="0" collapsed="false">
      <c r="G179" s="25" t="n">
        <v>44193</v>
      </c>
      <c r="H179" s="52" t="s">
        <v>14</v>
      </c>
      <c r="I179" s="5" t="n">
        <v>-105</v>
      </c>
      <c r="J179" s="461" t="s">
        <v>38</v>
      </c>
    </row>
    <row r="180" customFormat="false" ht="12.8" hidden="false" customHeight="false" outlineLevel="0" collapsed="false">
      <c r="G180" s="25" t="n">
        <v>44193</v>
      </c>
      <c r="H180" s="48" t="s">
        <v>26</v>
      </c>
      <c r="I180" s="5" t="n">
        <v>105</v>
      </c>
      <c r="J180" s="461" t="s">
        <v>38</v>
      </c>
    </row>
    <row r="181" customFormat="false" ht="12.8" hidden="false" customHeight="false" outlineLevel="0" collapsed="false">
      <c r="G181" s="25" t="n">
        <v>44193</v>
      </c>
      <c r="H181" s="48" t="s">
        <v>26</v>
      </c>
      <c r="I181" s="5" t="n">
        <v>-128.1</v>
      </c>
      <c r="J181" s="461" t="s">
        <v>37</v>
      </c>
    </row>
    <row r="182" customFormat="false" ht="12.8" hidden="false" customHeight="false" outlineLevel="0" collapsed="false">
      <c r="G182" s="25" t="n">
        <v>44194</v>
      </c>
      <c r="H182" s="52" t="s">
        <v>14</v>
      </c>
      <c r="I182" s="5" t="n">
        <v>-114</v>
      </c>
      <c r="J182" s="461" t="s">
        <v>38</v>
      </c>
    </row>
    <row r="183" customFormat="false" ht="12.8" hidden="false" customHeight="false" outlineLevel="0" collapsed="false">
      <c r="G183" s="25" t="n">
        <v>44194</v>
      </c>
      <c r="H183" s="48" t="s">
        <v>26</v>
      </c>
      <c r="I183" s="5" t="n">
        <v>114</v>
      </c>
      <c r="J183" s="461" t="s">
        <v>38</v>
      </c>
    </row>
    <row r="184" customFormat="false" ht="12.8" hidden="false" customHeight="false" outlineLevel="0" collapsed="false">
      <c r="G184" s="25" t="n">
        <v>44194</v>
      </c>
      <c r="H184" s="48" t="s">
        <v>26</v>
      </c>
      <c r="I184" s="5" t="n">
        <v>-127.38</v>
      </c>
      <c r="J184" s="461" t="s">
        <v>37</v>
      </c>
    </row>
    <row r="185" customFormat="false" ht="12.8" hidden="false" customHeight="false" outlineLevel="0" collapsed="false">
      <c r="G185" s="25" t="n">
        <v>44195</v>
      </c>
      <c r="H185" s="52" t="s">
        <v>14</v>
      </c>
      <c r="I185" s="5" t="n">
        <v>-127</v>
      </c>
      <c r="J185" s="461" t="s">
        <v>38</v>
      </c>
    </row>
    <row r="186" customFormat="false" ht="12.8" hidden="false" customHeight="false" outlineLevel="0" collapsed="false">
      <c r="G186" s="25" t="n">
        <v>44195</v>
      </c>
      <c r="H186" s="48" t="s">
        <v>26</v>
      </c>
      <c r="I186" s="5" t="n">
        <v>127</v>
      </c>
      <c r="J186" s="461" t="s">
        <v>38</v>
      </c>
    </row>
    <row r="187" customFormat="false" ht="12.8" hidden="false" customHeight="false" outlineLevel="0" collapsed="false">
      <c r="G187" s="25" t="n">
        <v>44195</v>
      </c>
      <c r="H187" s="48" t="s">
        <v>26</v>
      </c>
      <c r="I187" s="5" t="n">
        <v>-140.92</v>
      </c>
      <c r="J187" s="461" t="s">
        <v>37</v>
      </c>
      <c r="K187" s="463"/>
    </row>
    <row r="188" customFormat="false" ht="12.8" hidden="false" customHeight="false" outlineLevel="0" collapsed="false">
      <c r="G188" s="25" t="n">
        <v>44196</v>
      </c>
      <c r="H188" s="52" t="s">
        <v>14</v>
      </c>
      <c r="I188" s="5" t="n">
        <v>-4</v>
      </c>
      <c r="J188" s="461" t="s">
        <v>38</v>
      </c>
    </row>
    <row r="189" customFormat="false" ht="12.8" hidden="false" customHeight="false" outlineLevel="0" collapsed="false">
      <c r="G189" s="25" t="n">
        <v>44196</v>
      </c>
      <c r="H189" s="48" t="s">
        <v>26</v>
      </c>
      <c r="I189" s="5" t="n">
        <v>4</v>
      </c>
      <c r="J189" s="461" t="s">
        <v>38</v>
      </c>
    </row>
    <row r="190" customFormat="false" ht="12.8" hidden="false" customHeight="false" outlineLevel="0" collapsed="false">
      <c r="G190" s="25" t="n">
        <v>44196</v>
      </c>
      <c r="H190" s="32" t="s">
        <v>15</v>
      </c>
      <c r="I190" s="5" t="n">
        <v>3000</v>
      </c>
      <c r="J190" s="461" t="s">
        <v>690</v>
      </c>
    </row>
    <row r="191" customFormat="false" ht="12.8" hidden="false" customHeight="false" outlineLevel="0" collapsed="false">
      <c r="G191" s="25" t="n">
        <v>44196</v>
      </c>
      <c r="H191" s="52" t="s">
        <v>14</v>
      </c>
      <c r="I191" s="5" t="n">
        <v>8280.8</v>
      </c>
      <c r="J191" s="461" t="s">
        <v>855</v>
      </c>
    </row>
    <row r="192" customFormat="false" ht="12.8" hidden="false" customHeight="false" outlineLevel="0" collapsed="false">
      <c r="G192" s="25" t="n">
        <v>44196</v>
      </c>
      <c r="H192" s="466" t="s">
        <v>21</v>
      </c>
      <c r="I192" s="5" t="n">
        <v>-20</v>
      </c>
      <c r="J192" s="6" t="s">
        <v>856</v>
      </c>
    </row>
    <row r="193" customFormat="false" ht="12.8" hidden="false" customHeight="false" outlineLevel="0" collapsed="false">
      <c r="G193" s="25" t="n">
        <v>44196</v>
      </c>
      <c r="H193" s="32" t="s">
        <v>15</v>
      </c>
      <c r="I193" s="5" t="n">
        <v>-2850</v>
      </c>
      <c r="J193" s="461" t="s">
        <v>56</v>
      </c>
    </row>
    <row r="194" customFormat="false" ht="12.8" hidden="false" customHeight="false" outlineLevel="0" collapsed="false">
      <c r="G194" s="25" t="n">
        <v>44196</v>
      </c>
      <c r="H194" s="26" t="s">
        <v>10</v>
      </c>
      <c r="I194" s="5" t="n">
        <v>2850</v>
      </c>
      <c r="J194" s="461" t="s">
        <v>56</v>
      </c>
    </row>
    <row r="195" customFormat="false" ht="12.8" hidden="false" customHeight="false" outlineLevel="0" collapsed="false">
      <c r="G195" s="25" t="n">
        <v>44196</v>
      </c>
      <c r="H195" s="32" t="s">
        <v>15</v>
      </c>
      <c r="I195" s="5" t="n">
        <v>-148.61</v>
      </c>
      <c r="J195" s="461" t="s">
        <v>37</v>
      </c>
    </row>
    <row r="196" customFormat="false" ht="12.8" hidden="false" customHeight="false" outlineLevel="0" collapsed="false">
      <c r="G196" s="25" t="n">
        <v>44196</v>
      </c>
      <c r="H196" s="26" t="s">
        <v>10</v>
      </c>
      <c r="I196" s="5" t="n">
        <v>0.6</v>
      </c>
      <c r="J196" s="461" t="s">
        <v>857</v>
      </c>
    </row>
    <row r="197" customFormat="false" ht="12.8" hidden="false" customHeight="false" outlineLevel="0" collapsed="false">
      <c r="G197" s="25" t="n">
        <v>44196</v>
      </c>
      <c r="H197" s="48" t="s">
        <v>26</v>
      </c>
      <c r="I197" s="5" t="n">
        <v>-13</v>
      </c>
      <c r="J197" s="461" t="s">
        <v>846</v>
      </c>
    </row>
    <row r="198" customFormat="false" ht="12.8" hidden="false" customHeight="false" outlineLevel="0" collapsed="false">
      <c r="G198" s="25" t="n">
        <v>44196</v>
      </c>
      <c r="H198" s="38" t="s">
        <v>832</v>
      </c>
      <c r="I198" s="5" t="n">
        <v>-15</v>
      </c>
      <c r="J198" s="461" t="s">
        <v>846</v>
      </c>
    </row>
    <row r="199" customFormat="false" ht="12.8" hidden="false" customHeight="false" outlineLevel="0" collapsed="false">
      <c r="G199" s="25" t="n">
        <v>44198</v>
      </c>
      <c r="H199" s="26" t="s">
        <v>10</v>
      </c>
      <c r="I199" s="5" t="n">
        <v>-148</v>
      </c>
      <c r="J199" s="461" t="s">
        <v>38</v>
      </c>
    </row>
    <row r="200" customFormat="false" ht="12.8" hidden="false" customHeight="false" outlineLevel="0" collapsed="false">
      <c r="G200" s="25" t="n">
        <v>44198</v>
      </c>
      <c r="H200" s="32" t="s">
        <v>15</v>
      </c>
      <c r="I200" s="5" t="n">
        <v>148</v>
      </c>
      <c r="J200" s="461" t="s">
        <v>38</v>
      </c>
    </row>
    <row r="201" customFormat="false" ht="12.8" hidden="false" customHeight="false" outlineLevel="0" collapsed="false">
      <c r="G201" s="25" t="n">
        <v>44198</v>
      </c>
      <c r="H201" s="32" t="s">
        <v>15</v>
      </c>
      <c r="I201" s="5" t="n">
        <v>-141.47</v>
      </c>
      <c r="J201" s="461" t="s">
        <v>37</v>
      </c>
    </row>
    <row r="202" customFormat="false" ht="12.8" hidden="false" customHeight="false" outlineLevel="0" collapsed="false">
      <c r="G202" s="25" t="n">
        <v>44199</v>
      </c>
      <c r="H202" s="26" t="s">
        <v>10</v>
      </c>
      <c r="I202" s="5" t="n">
        <v>-142</v>
      </c>
      <c r="J202" s="461" t="s">
        <v>38</v>
      </c>
    </row>
    <row r="203" customFormat="false" ht="12.8" hidden="false" customHeight="false" outlineLevel="0" collapsed="false">
      <c r="G203" s="25" t="n">
        <v>44199</v>
      </c>
      <c r="H203" s="32" t="s">
        <v>15</v>
      </c>
      <c r="I203" s="5" t="n">
        <v>142</v>
      </c>
      <c r="J203" s="461" t="s">
        <v>38</v>
      </c>
    </row>
    <row r="204" customFormat="false" ht="12.8" hidden="false" customHeight="false" outlineLevel="0" collapsed="false">
      <c r="G204" s="25" t="n">
        <v>44199</v>
      </c>
      <c r="H204" s="32" t="s">
        <v>15</v>
      </c>
      <c r="I204" s="5" t="n">
        <v>-89.13</v>
      </c>
      <c r="J204" s="461" t="s">
        <v>37</v>
      </c>
    </row>
    <row r="205" customFormat="false" ht="12.8" hidden="false" customHeight="false" outlineLevel="0" collapsed="false">
      <c r="G205" s="25" t="n">
        <v>44200</v>
      </c>
      <c r="H205" s="52" t="s">
        <v>14</v>
      </c>
      <c r="I205" s="5" t="n">
        <v>-8000</v>
      </c>
      <c r="J205" s="6" t="s">
        <v>480</v>
      </c>
    </row>
    <row r="206" customFormat="false" ht="12.8" hidden="false" customHeight="false" outlineLevel="0" collapsed="false">
      <c r="G206" s="25" t="n">
        <v>44200</v>
      </c>
      <c r="H206" s="448" t="s">
        <v>822</v>
      </c>
      <c r="I206" s="5" t="n">
        <v>-12</v>
      </c>
      <c r="J206" s="6" t="s">
        <v>480</v>
      </c>
    </row>
    <row r="207" customFormat="false" ht="12.8" hidden="false" customHeight="false" outlineLevel="0" collapsed="false">
      <c r="G207" s="25" t="n">
        <v>44200</v>
      </c>
      <c r="H207" s="26" t="s">
        <v>10</v>
      </c>
      <c r="I207" s="5" t="n">
        <v>-89</v>
      </c>
      <c r="J207" s="461" t="s">
        <v>38</v>
      </c>
    </row>
    <row r="208" customFormat="false" ht="12.8" hidden="false" customHeight="false" outlineLevel="0" collapsed="false">
      <c r="G208" s="25" t="n">
        <v>44200</v>
      </c>
      <c r="H208" s="32" t="s">
        <v>15</v>
      </c>
      <c r="I208" s="5" t="n">
        <v>89</v>
      </c>
      <c r="J208" s="461" t="s">
        <v>38</v>
      </c>
    </row>
    <row r="209" customFormat="false" ht="12.8" hidden="false" customHeight="false" outlineLevel="0" collapsed="false">
      <c r="G209" s="25" t="n">
        <v>44200</v>
      </c>
      <c r="H209" s="32" t="s">
        <v>15</v>
      </c>
      <c r="I209" s="5" t="n">
        <v>-136.42</v>
      </c>
      <c r="J209" s="461" t="s">
        <v>37</v>
      </c>
    </row>
    <row r="210" customFormat="false" ht="12.8" hidden="false" customHeight="false" outlineLevel="0" collapsed="false">
      <c r="G210" s="25" t="n">
        <v>44201</v>
      </c>
      <c r="H210" s="26" t="s">
        <v>10</v>
      </c>
      <c r="I210" s="5" t="n">
        <v>-186</v>
      </c>
      <c r="J210" s="461" t="s">
        <v>38</v>
      </c>
    </row>
    <row r="211" customFormat="false" ht="12.8" hidden="false" customHeight="false" outlineLevel="0" collapsed="false">
      <c r="G211" s="25" t="n">
        <v>44201</v>
      </c>
      <c r="H211" s="32" t="s">
        <v>15</v>
      </c>
      <c r="I211" s="5" t="n">
        <v>186</v>
      </c>
      <c r="J211" s="461" t="s">
        <v>38</v>
      </c>
    </row>
    <row r="212" customFormat="false" ht="12.8" hidden="false" customHeight="false" outlineLevel="0" collapsed="false">
      <c r="G212" s="25" t="n">
        <v>44201</v>
      </c>
      <c r="H212" s="32" t="s">
        <v>15</v>
      </c>
      <c r="I212" s="5" t="n">
        <v>-142.12</v>
      </c>
      <c r="J212" s="461" t="s">
        <v>37</v>
      </c>
    </row>
    <row r="213" customFormat="false" ht="12.8" hidden="false" customHeight="false" outlineLevel="0" collapsed="false">
      <c r="G213" s="25" t="n">
        <v>44201</v>
      </c>
      <c r="H213" s="32" t="s">
        <v>15</v>
      </c>
      <c r="I213" s="5" t="n">
        <v>-50</v>
      </c>
      <c r="J213" s="461" t="s">
        <v>858</v>
      </c>
    </row>
    <row r="214" customFormat="false" ht="12.8" hidden="false" customHeight="false" outlineLevel="0" collapsed="false">
      <c r="G214" s="25" t="n">
        <v>44201</v>
      </c>
      <c r="H214" s="466" t="s">
        <v>21</v>
      </c>
      <c r="I214" s="5" t="n">
        <v>50</v>
      </c>
      <c r="J214" s="6" t="s">
        <v>858</v>
      </c>
    </row>
    <row r="215" customFormat="false" ht="12.8" hidden="false" customHeight="false" outlineLevel="0" collapsed="false">
      <c r="G215" s="25" t="n">
        <v>44201</v>
      </c>
      <c r="H215" s="466" t="s">
        <v>21</v>
      </c>
      <c r="I215" s="5" t="n">
        <v>-15</v>
      </c>
      <c r="J215" s="6" t="s">
        <v>846</v>
      </c>
    </row>
    <row r="216" customFormat="false" ht="12.8" hidden="false" customHeight="false" outlineLevel="0" collapsed="false">
      <c r="G216" s="25" t="n">
        <v>44201</v>
      </c>
      <c r="H216" s="26" t="s">
        <v>10</v>
      </c>
      <c r="I216" s="5" t="n">
        <v>-142</v>
      </c>
      <c r="J216" s="461" t="s">
        <v>38</v>
      </c>
    </row>
    <row r="217" customFormat="false" ht="12.8" hidden="false" customHeight="false" outlineLevel="0" collapsed="false">
      <c r="G217" s="25" t="n">
        <v>44201</v>
      </c>
      <c r="H217" s="32" t="s">
        <v>15</v>
      </c>
      <c r="I217" s="5" t="n">
        <v>142</v>
      </c>
      <c r="J217" s="461" t="s">
        <v>38</v>
      </c>
    </row>
    <row r="218" customFormat="false" ht="12.8" hidden="false" customHeight="false" outlineLevel="0" collapsed="false">
      <c r="G218" s="25" t="n">
        <v>44201</v>
      </c>
      <c r="H218" s="32" t="s">
        <v>15</v>
      </c>
      <c r="I218" s="5" t="n">
        <v>-126.24</v>
      </c>
      <c r="J218" s="461" t="s">
        <v>37</v>
      </c>
    </row>
    <row r="219" customFormat="false" ht="12.8" hidden="false" customHeight="false" outlineLevel="0" collapsed="false">
      <c r="G219" s="25" t="n">
        <v>44202</v>
      </c>
      <c r="H219" s="466" t="s">
        <v>21</v>
      </c>
      <c r="I219" s="5" t="n">
        <v>-9679</v>
      </c>
      <c r="J219" s="6" t="s">
        <v>859</v>
      </c>
    </row>
    <row r="220" customFormat="false" ht="12.8" hidden="false" customHeight="false" outlineLevel="0" collapsed="false">
      <c r="G220" s="25" t="n">
        <v>44202</v>
      </c>
      <c r="H220" s="26" t="s">
        <v>10</v>
      </c>
      <c r="I220" s="5" t="n">
        <v>-277</v>
      </c>
      <c r="J220" s="461" t="s">
        <v>38</v>
      </c>
    </row>
    <row r="221" customFormat="false" ht="12.8" hidden="false" customHeight="false" outlineLevel="0" collapsed="false">
      <c r="G221" s="25" t="n">
        <v>44203</v>
      </c>
      <c r="H221" s="32" t="s">
        <v>15</v>
      </c>
      <c r="I221" s="5" t="n">
        <v>277</v>
      </c>
      <c r="J221" s="461" t="s">
        <v>38</v>
      </c>
    </row>
    <row r="222" customFormat="false" ht="12.8" hidden="false" customHeight="false" outlineLevel="0" collapsed="false">
      <c r="G222" s="25" t="n">
        <v>44203</v>
      </c>
      <c r="H222" s="32" t="s">
        <v>15</v>
      </c>
      <c r="I222" s="5" t="n">
        <v>-183.43</v>
      </c>
      <c r="J222" s="461" t="s">
        <v>37</v>
      </c>
    </row>
    <row r="223" customFormat="false" ht="12.8" hidden="false" customHeight="false" outlineLevel="0" collapsed="false">
      <c r="G223" s="25" t="n">
        <v>44203</v>
      </c>
      <c r="H223" s="32" t="s">
        <v>15</v>
      </c>
      <c r="I223" s="5" t="n">
        <v>-49.26</v>
      </c>
      <c r="J223" s="461" t="s">
        <v>841</v>
      </c>
    </row>
    <row r="224" customFormat="false" ht="12.8" hidden="false" customHeight="false" outlineLevel="0" collapsed="false">
      <c r="G224" s="25" t="n">
        <v>44204</v>
      </c>
      <c r="H224" s="26" t="s">
        <v>10</v>
      </c>
      <c r="I224" s="5" t="n">
        <v>-82</v>
      </c>
      <c r="J224" s="461" t="s">
        <v>38</v>
      </c>
    </row>
    <row r="225" customFormat="false" ht="12.8" hidden="false" customHeight="false" outlineLevel="0" collapsed="false">
      <c r="G225" s="25" t="n">
        <v>44204</v>
      </c>
      <c r="H225" s="32" t="s">
        <v>15</v>
      </c>
      <c r="I225" s="5" t="n">
        <v>82</v>
      </c>
      <c r="J225" s="461" t="s">
        <v>38</v>
      </c>
    </row>
    <row r="226" customFormat="false" ht="12.8" hidden="false" customHeight="false" outlineLevel="0" collapsed="false">
      <c r="G226" s="25" t="n">
        <v>44204</v>
      </c>
      <c r="H226" s="32" t="s">
        <v>15</v>
      </c>
      <c r="I226" s="5" t="n">
        <v>-380</v>
      </c>
      <c r="J226" s="461" t="s">
        <v>848</v>
      </c>
    </row>
    <row r="227" customFormat="false" ht="12.8" hidden="false" customHeight="false" outlineLevel="0" collapsed="false">
      <c r="G227" s="25" t="n">
        <v>44204</v>
      </c>
      <c r="H227" s="26" t="s">
        <v>10</v>
      </c>
      <c r="I227" s="5" t="n">
        <v>-380</v>
      </c>
      <c r="J227" s="461" t="s">
        <v>38</v>
      </c>
    </row>
    <row r="228" customFormat="false" ht="12.8" hidden="false" customHeight="false" outlineLevel="0" collapsed="false">
      <c r="G228" s="25" t="n">
        <v>44204</v>
      </c>
      <c r="H228" s="32" t="s">
        <v>15</v>
      </c>
      <c r="I228" s="5" t="n">
        <v>380</v>
      </c>
      <c r="J228" s="461" t="s">
        <v>38</v>
      </c>
    </row>
    <row r="229" customFormat="false" ht="12.8" hidden="false" customHeight="false" outlineLevel="0" collapsed="false">
      <c r="G229" s="25" t="n">
        <v>44204</v>
      </c>
      <c r="H229" s="32" t="s">
        <v>15</v>
      </c>
      <c r="I229" s="5" t="n">
        <v>-134.13</v>
      </c>
      <c r="J229" s="461" t="s">
        <v>37</v>
      </c>
    </row>
    <row r="230" customFormat="false" ht="12.8" hidden="false" customHeight="false" outlineLevel="0" collapsed="false">
      <c r="G230" s="25" t="n">
        <v>44205</v>
      </c>
      <c r="H230" s="26" t="s">
        <v>10</v>
      </c>
      <c r="I230" s="5" t="n">
        <v>-134</v>
      </c>
      <c r="J230" s="461" t="s">
        <v>38</v>
      </c>
    </row>
    <row r="231" customFormat="false" ht="12.8" hidden="false" customHeight="false" outlineLevel="0" collapsed="false">
      <c r="G231" s="25" t="n">
        <v>44205</v>
      </c>
      <c r="H231" s="32" t="s">
        <v>15</v>
      </c>
      <c r="I231" s="5" t="n">
        <v>134</v>
      </c>
      <c r="J231" s="461" t="s">
        <v>38</v>
      </c>
    </row>
    <row r="232" customFormat="false" ht="12.8" hidden="false" customHeight="false" outlineLevel="0" collapsed="false">
      <c r="G232" s="25" t="n">
        <v>44205</v>
      </c>
      <c r="H232" s="32" t="s">
        <v>15</v>
      </c>
      <c r="I232" s="5" t="n">
        <v>-123.62</v>
      </c>
      <c r="J232" s="461" t="s">
        <v>37</v>
      </c>
    </row>
    <row r="233" customFormat="false" ht="12.8" hidden="false" customHeight="false" outlineLevel="0" collapsed="false">
      <c r="G233" s="25" t="n">
        <v>44206</v>
      </c>
      <c r="H233" s="26" t="s">
        <v>10</v>
      </c>
      <c r="I233" s="5" t="n">
        <v>-124</v>
      </c>
      <c r="J233" s="461" t="s">
        <v>38</v>
      </c>
    </row>
    <row r="234" customFormat="false" ht="12.8" hidden="false" customHeight="false" outlineLevel="0" collapsed="false">
      <c r="G234" s="25" t="n">
        <v>44206</v>
      </c>
      <c r="H234" s="32" t="s">
        <v>15</v>
      </c>
      <c r="I234" s="5" t="n">
        <v>124</v>
      </c>
      <c r="J234" s="461" t="s">
        <v>38</v>
      </c>
    </row>
    <row r="235" customFormat="false" ht="12.8" hidden="false" customHeight="false" outlineLevel="0" collapsed="false">
      <c r="G235" s="25" t="n">
        <v>44206</v>
      </c>
      <c r="H235" s="32" t="s">
        <v>15</v>
      </c>
      <c r="I235" s="5" t="n">
        <v>-132.27</v>
      </c>
      <c r="J235" s="461" t="s">
        <v>37</v>
      </c>
    </row>
    <row r="236" customFormat="false" ht="12.8" hidden="false" customHeight="false" outlineLevel="0" collapsed="false">
      <c r="G236" s="25" t="n">
        <v>44207</v>
      </c>
      <c r="H236" s="26" t="s">
        <v>10</v>
      </c>
      <c r="I236" s="5" t="n">
        <v>-132</v>
      </c>
      <c r="J236" s="461" t="s">
        <v>38</v>
      </c>
    </row>
    <row r="237" customFormat="false" ht="12.8" hidden="false" customHeight="false" outlineLevel="0" collapsed="false">
      <c r="G237" s="25" t="n">
        <v>44207</v>
      </c>
      <c r="H237" s="32" t="s">
        <v>15</v>
      </c>
      <c r="I237" s="5" t="n">
        <v>132</v>
      </c>
      <c r="J237" s="461" t="s">
        <v>38</v>
      </c>
    </row>
    <row r="238" customFormat="false" ht="12.8" hidden="false" customHeight="false" outlineLevel="0" collapsed="false">
      <c r="G238" s="25" t="n">
        <v>44207</v>
      </c>
      <c r="H238" s="32" t="s">
        <v>15</v>
      </c>
      <c r="I238" s="5" t="n">
        <v>-144.24</v>
      </c>
      <c r="J238" s="461" t="s">
        <v>37</v>
      </c>
    </row>
    <row r="239" customFormat="false" ht="12.8" hidden="false" customHeight="false" outlineLevel="0" collapsed="false">
      <c r="G239" s="25" t="n">
        <v>44208</v>
      </c>
      <c r="H239" s="26" t="s">
        <v>10</v>
      </c>
      <c r="I239" s="5" t="n">
        <v>-145</v>
      </c>
      <c r="J239" s="461" t="s">
        <v>38</v>
      </c>
    </row>
    <row r="240" customFormat="false" ht="12.8" hidden="false" customHeight="false" outlineLevel="0" collapsed="false">
      <c r="G240" s="25" t="n">
        <v>44208</v>
      </c>
      <c r="H240" s="32" t="s">
        <v>15</v>
      </c>
      <c r="I240" s="5" t="n">
        <v>145</v>
      </c>
      <c r="J240" s="461" t="s">
        <v>38</v>
      </c>
    </row>
    <row r="241" customFormat="false" ht="12.8" hidden="false" customHeight="false" outlineLevel="0" collapsed="false">
      <c r="G241" s="25" t="n">
        <v>44208</v>
      </c>
      <c r="H241" s="32" t="s">
        <v>15</v>
      </c>
      <c r="I241" s="5" t="n">
        <v>-130.84</v>
      </c>
      <c r="J241" s="461" t="s">
        <v>37</v>
      </c>
    </row>
    <row r="242" customFormat="false" ht="12.8" hidden="false" customHeight="false" outlineLevel="0" collapsed="false">
      <c r="G242" s="25" t="n">
        <v>44209</v>
      </c>
      <c r="H242" s="26" t="s">
        <v>10</v>
      </c>
      <c r="I242" s="5" t="n">
        <v>-130</v>
      </c>
      <c r="J242" s="461" t="s">
        <v>38</v>
      </c>
    </row>
    <row r="243" customFormat="false" ht="12.8" hidden="false" customHeight="false" outlineLevel="0" collapsed="false">
      <c r="G243" s="25" t="n">
        <v>44209</v>
      </c>
      <c r="H243" s="32" t="s">
        <v>15</v>
      </c>
      <c r="I243" s="5" t="n">
        <v>130</v>
      </c>
      <c r="J243" s="461" t="s">
        <v>38</v>
      </c>
    </row>
    <row r="244" customFormat="false" ht="12.8" hidden="false" customHeight="false" outlineLevel="0" collapsed="false">
      <c r="G244" s="25" t="n">
        <v>44209</v>
      </c>
      <c r="H244" s="32" t="s">
        <v>15</v>
      </c>
      <c r="I244" s="5" t="n">
        <v>-128.89</v>
      </c>
      <c r="J244" s="461" t="s">
        <v>37</v>
      </c>
    </row>
    <row r="245" customFormat="false" ht="12.8" hidden="false" customHeight="false" outlineLevel="0" collapsed="false">
      <c r="G245" s="25" t="n">
        <v>44210</v>
      </c>
      <c r="H245" s="26" t="s">
        <v>10</v>
      </c>
      <c r="I245" s="5" t="n">
        <v>-129</v>
      </c>
      <c r="J245" s="461" t="s">
        <v>38</v>
      </c>
    </row>
    <row r="246" customFormat="false" ht="12.8" hidden="false" customHeight="false" outlineLevel="0" collapsed="false">
      <c r="G246" s="25" t="n">
        <v>44210</v>
      </c>
      <c r="H246" s="32" t="s">
        <v>15</v>
      </c>
      <c r="I246" s="5" t="n">
        <v>129</v>
      </c>
      <c r="J246" s="461" t="s">
        <v>38</v>
      </c>
    </row>
    <row r="247" customFormat="false" ht="12.8" hidden="false" customHeight="false" outlineLevel="0" collapsed="false">
      <c r="G247" s="25" t="n">
        <v>44210</v>
      </c>
      <c r="H247" s="32" t="s">
        <v>15</v>
      </c>
      <c r="I247" s="5" t="n">
        <v>-121.54</v>
      </c>
      <c r="J247" s="461" t="s">
        <v>37</v>
      </c>
    </row>
    <row r="248" customFormat="false" ht="12.8" hidden="false" customHeight="false" outlineLevel="0" collapsed="false">
      <c r="G248" s="25" t="n">
        <v>44211</v>
      </c>
      <c r="H248" s="26" t="s">
        <v>10</v>
      </c>
      <c r="I248" s="5" t="n">
        <v>-122</v>
      </c>
      <c r="J248" s="461" t="s">
        <v>38</v>
      </c>
    </row>
    <row r="249" customFormat="false" ht="12.8" hidden="false" customHeight="false" outlineLevel="0" collapsed="false">
      <c r="G249" s="25" t="n">
        <v>44211</v>
      </c>
      <c r="H249" s="32" t="s">
        <v>15</v>
      </c>
      <c r="I249" s="5" t="n">
        <v>122</v>
      </c>
      <c r="J249" s="461" t="s">
        <v>38</v>
      </c>
    </row>
    <row r="250" customFormat="false" ht="12.8" hidden="false" customHeight="false" outlineLevel="0" collapsed="false">
      <c r="G250" s="25" t="n">
        <v>44211</v>
      </c>
      <c r="H250" s="32" t="s">
        <v>15</v>
      </c>
      <c r="I250" s="5" t="n">
        <v>-121.6</v>
      </c>
      <c r="J250" s="461" t="s">
        <v>37</v>
      </c>
    </row>
    <row r="251" customFormat="false" ht="12.8" hidden="false" customHeight="false" outlineLevel="0" collapsed="false">
      <c r="G251" s="25" t="n">
        <v>44212</v>
      </c>
      <c r="H251" s="26" t="s">
        <v>10</v>
      </c>
      <c r="I251" s="5" t="n">
        <v>-121</v>
      </c>
      <c r="J251" s="461" t="s">
        <v>38</v>
      </c>
    </row>
    <row r="252" customFormat="false" ht="12.8" hidden="false" customHeight="false" outlineLevel="0" collapsed="false">
      <c r="G252" s="25" t="n">
        <v>44212</v>
      </c>
      <c r="H252" s="32" t="s">
        <v>15</v>
      </c>
      <c r="I252" s="5" t="n">
        <v>121</v>
      </c>
      <c r="J252" s="461" t="s">
        <v>38</v>
      </c>
    </row>
    <row r="253" customFormat="false" ht="12.8" hidden="false" customHeight="false" outlineLevel="0" collapsed="false">
      <c r="G253" s="25" t="n">
        <v>44212</v>
      </c>
      <c r="H253" s="32" t="s">
        <v>15</v>
      </c>
      <c r="I253" s="5" t="n">
        <v>-141.13</v>
      </c>
      <c r="J253" s="461" t="s">
        <v>37</v>
      </c>
    </row>
    <row r="254" customFormat="false" ht="12.8" hidden="false" customHeight="false" outlineLevel="0" collapsed="false">
      <c r="G254" s="25" t="n">
        <v>44213</v>
      </c>
      <c r="H254" s="26" t="s">
        <v>10</v>
      </c>
      <c r="I254" s="5" t="n">
        <v>-112</v>
      </c>
      <c r="J254" s="461" t="s">
        <v>38</v>
      </c>
    </row>
    <row r="255" customFormat="false" ht="12.8" hidden="false" customHeight="false" outlineLevel="0" collapsed="false">
      <c r="G255" s="25" t="n">
        <v>44213</v>
      </c>
      <c r="H255" s="32" t="s">
        <v>15</v>
      </c>
      <c r="I255" s="5" t="n">
        <v>112</v>
      </c>
      <c r="J255" s="461" t="s">
        <v>38</v>
      </c>
    </row>
    <row r="256" customFormat="false" ht="12.8" hidden="false" customHeight="false" outlineLevel="0" collapsed="false">
      <c r="G256" s="25" t="n">
        <v>44213</v>
      </c>
      <c r="H256" s="32" t="s">
        <v>15</v>
      </c>
      <c r="I256" s="5" t="n">
        <v>-111.21</v>
      </c>
      <c r="J256" s="461" t="s">
        <v>37</v>
      </c>
    </row>
    <row r="257" customFormat="false" ht="12.8" hidden="false" customHeight="false" outlineLevel="0" collapsed="false">
      <c r="G257" s="25" t="n">
        <v>44214</v>
      </c>
      <c r="H257" s="26" t="s">
        <v>10</v>
      </c>
      <c r="I257" s="5" t="n">
        <v>-111</v>
      </c>
      <c r="J257" s="461" t="s">
        <v>38</v>
      </c>
    </row>
    <row r="258" customFormat="false" ht="12.8" hidden="false" customHeight="false" outlineLevel="0" collapsed="false">
      <c r="G258" s="25" t="n">
        <v>44214</v>
      </c>
      <c r="H258" s="32" t="s">
        <v>15</v>
      </c>
      <c r="I258" s="5" t="n">
        <v>111</v>
      </c>
      <c r="J258" s="461" t="s">
        <v>38</v>
      </c>
    </row>
    <row r="259" customFormat="false" ht="12.8" hidden="false" customHeight="false" outlineLevel="0" collapsed="false">
      <c r="G259" s="25" t="n">
        <v>44214</v>
      </c>
      <c r="H259" s="32" t="s">
        <v>15</v>
      </c>
      <c r="I259" s="5" t="n">
        <v>-97.3</v>
      </c>
      <c r="J259" s="461" t="s">
        <v>37</v>
      </c>
    </row>
    <row r="260" customFormat="false" ht="12.8" hidden="false" customHeight="false" outlineLevel="0" collapsed="false">
      <c r="G260" s="25" t="n">
        <v>44215</v>
      </c>
      <c r="H260" s="26" t="s">
        <v>10</v>
      </c>
      <c r="I260" s="5" t="n">
        <v>-97</v>
      </c>
      <c r="J260" s="461" t="s">
        <v>38</v>
      </c>
    </row>
    <row r="261" customFormat="false" ht="12.8" hidden="false" customHeight="false" outlineLevel="0" collapsed="false">
      <c r="G261" s="25" t="n">
        <v>44215</v>
      </c>
      <c r="H261" s="32" t="s">
        <v>15</v>
      </c>
      <c r="I261" s="5" t="n">
        <v>97</v>
      </c>
      <c r="J261" s="461" t="s">
        <v>38</v>
      </c>
    </row>
    <row r="262" customFormat="false" ht="12.8" hidden="false" customHeight="false" outlineLevel="0" collapsed="false">
      <c r="G262" s="25" t="n">
        <v>44215</v>
      </c>
      <c r="H262" s="32" t="s">
        <v>15</v>
      </c>
      <c r="I262" s="5" t="n">
        <v>-108.28</v>
      </c>
      <c r="J262" s="461" t="s">
        <v>37</v>
      </c>
    </row>
    <row r="263" customFormat="false" ht="12.8" hidden="false" customHeight="false" outlineLevel="0" collapsed="false">
      <c r="G263" s="25" t="n">
        <v>44216</v>
      </c>
      <c r="H263" s="26" t="s">
        <v>10</v>
      </c>
      <c r="I263" s="5" t="n">
        <v>-138</v>
      </c>
      <c r="J263" s="461" t="s">
        <v>38</v>
      </c>
    </row>
    <row r="264" customFormat="false" ht="12.8" hidden="false" customHeight="false" outlineLevel="0" collapsed="false">
      <c r="G264" s="25" t="n">
        <v>44216</v>
      </c>
      <c r="H264" s="32" t="s">
        <v>15</v>
      </c>
      <c r="I264" s="5" t="n">
        <v>138</v>
      </c>
      <c r="J264" s="461" t="s">
        <v>38</v>
      </c>
    </row>
    <row r="265" customFormat="false" ht="12.8" hidden="false" customHeight="false" outlineLevel="0" collapsed="false">
      <c r="G265" s="25" t="n">
        <v>44216</v>
      </c>
      <c r="H265" s="32" t="s">
        <v>15</v>
      </c>
      <c r="I265" s="5" t="n">
        <v>-131.13</v>
      </c>
      <c r="J265" s="461" t="s">
        <v>37</v>
      </c>
    </row>
    <row r="266" customFormat="false" ht="12.8" hidden="false" customHeight="false" outlineLevel="0" collapsed="false">
      <c r="G266" s="25" t="n">
        <v>44216</v>
      </c>
      <c r="H266" s="26" t="s">
        <v>10</v>
      </c>
      <c r="I266" s="5" t="n">
        <v>-22</v>
      </c>
      <c r="J266" s="461" t="s">
        <v>38</v>
      </c>
    </row>
    <row r="267" customFormat="false" ht="12.8" hidden="false" customHeight="false" outlineLevel="0" collapsed="false">
      <c r="G267" s="25" t="n">
        <v>44216</v>
      </c>
      <c r="H267" s="32" t="s">
        <v>15</v>
      </c>
      <c r="I267" s="5" t="n">
        <v>22</v>
      </c>
      <c r="J267" s="461" t="s">
        <v>38</v>
      </c>
    </row>
    <row r="268" customFormat="false" ht="12.8" hidden="false" customHeight="false" outlineLevel="0" collapsed="false">
      <c r="G268" s="25" t="n">
        <v>44216</v>
      </c>
      <c r="H268" s="32" t="s">
        <v>15</v>
      </c>
      <c r="I268" s="5" t="n">
        <v>-21</v>
      </c>
      <c r="J268" s="461" t="s">
        <v>37</v>
      </c>
    </row>
    <row r="269" customFormat="false" ht="12.8" hidden="false" customHeight="false" outlineLevel="0" collapsed="false">
      <c r="G269" s="25" t="n">
        <v>44217</v>
      </c>
      <c r="H269" s="26" t="s">
        <v>10</v>
      </c>
      <c r="I269" s="5" t="n">
        <v>-131</v>
      </c>
      <c r="J269" s="461" t="s">
        <v>38</v>
      </c>
    </row>
    <row r="270" customFormat="false" ht="12.8" hidden="false" customHeight="false" outlineLevel="0" collapsed="false">
      <c r="G270" s="25" t="n">
        <v>44217</v>
      </c>
      <c r="H270" s="32" t="s">
        <v>15</v>
      </c>
      <c r="I270" s="5" t="n">
        <v>131</v>
      </c>
      <c r="J270" s="461" t="s">
        <v>38</v>
      </c>
    </row>
    <row r="271" customFormat="false" ht="12.8" hidden="false" customHeight="false" outlineLevel="0" collapsed="false">
      <c r="G271" s="25" t="n">
        <v>44217</v>
      </c>
      <c r="H271" s="32" t="s">
        <v>15</v>
      </c>
      <c r="I271" s="5" t="n">
        <v>-134.76</v>
      </c>
      <c r="J271" s="461" t="s">
        <v>37</v>
      </c>
    </row>
    <row r="272" customFormat="false" ht="12.8" hidden="false" customHeight="false" outlineLevel="0" collapsed="false">
      <c r="G272" s="25" t="n">
        <v>44218</v>
      </c>
      <c r="H272" s="26" t="s">
        <v>10</v>
      </c>
      <c r="I272" s="5" t="n">
        <v>-134</v>
      </c>
      <c r="J272" s="461" t="s">
        <v>38</v>
      </c>
    </row>
    <row r="273" customFormat="false" ht="12.8" hidden="false" customHeight="false" outlineLevel="0" collapsed="false">
      <c r="G273" s="25" t="n">
        <v>44218</v>
      </c>
      <c r="H273" s="32" t="s">
        <v>15</v>
      </c>
      <c r="I273" s="5" t="n">
        <v>134</v>
      </c>
      <c r="J273" s="461" t="s">
        <v>38</v>
      </c>
    </row>
    <row r="274" customFormat="false" ht="12.8" hidden="false" customHeight="false" outlineLevel="0" collapsed="false">
      <c r="G274" s="25" t="n">
        <v>44218</v>
      </c>
      <c r="H274" s="32" t="s">
        <v>15</v>
      </c>
      <c r="I274" s="5" t="n">
        <v>-148.49</v>
      </c>
      <c r="J274" s="461" t="s">
        <v>37</v>
      </c>
    </row>
    <row r="275" customFormat="false" ht="12.8" hidden="false" customHeight="false" outlineLevel="0" collapsed="false">
      <c r="G275" s="25" t="n">
        <v>44219</v>
      </c>
      <c r="H275" s="26" t="s">
        <v>10</v>
      </c>
      <c r="I275" s="5" t="n">
        <v>-149</v>
      </c>
      <c r="J275" s="461" t="s">
        <v>38</v>
      </c>
    </row>
    <row r="276" customFormat="false" ht="12.8" hidden="false" customHeight="false" outlineLevel="0" collapsed="false">
      <c r="G276" s="25" t="n">
        <v>44219</v>
      </c>
      <c r="H276" s="32" t="s">
        <v>15</v>
      </c>
      <c r="I276" s="5" t="n">
        <v>149</v>
      </c>
      <c r="J276" s="461" t="s">
        <v>38</v>
      </c>
    </row>
    <row r="277" customFormat="false" ht="12.8" hidden="false" customHeight="false" outlineLevel="0" collapsed="false">
      <c r="G277" s="25" t="n">
        <v>44219</v>
      </c>
      <c r="H277" s="32" t="s">
        <v>15</v>
      </c>
      <c r="I277" s="5" t="n">
        <v>-130.99</v>
      </c>
      <c r="J277" s="461" t="s">
        <v>37</v>
      </c>
    </row>
    <row r="278" customFormat="false" ht="12.8" hidden="false" customHeight="false" outlineLevel="0" collapsed="false">
      <c r="G278" s="25" t="n">
        <v>44220</v>
      </c>
      <c r="H278" s="26" t="s">
        <v>10</v>
      </c>
      <c r="I278" s="5" t="n">
        <v>-286</v>
      </c>
      <c r="J278" s="461" t="s">
        <v>860</v>
      </c>
    </row>
    <row r="279" customFormat="false" ht="12.8" hidden="false" customHeight="false" outlineLevel="0" collapsed="false">
      <c r="G279" s="25" t="n">
        <v>44220</v>
      </c>
      <c r="H279" s="32" t="s">
        <v>15</v>
      </c>
      <c r="I279" s="5" t="n">
        <v>286</v>
      </c>
      <c r="J279" s="461" t="s">
        <v>38</v>
      </c>
    </row>
    <row r="280" customFormat="false" ht="12.8" hidden="false" customHeight="false" outlineLevel="0" collapsed="false">
      <c r="G280" s="25" t="n">
        <v>44220</v>
      </c>
      <c r="H280" s="32" t="s">
        <v>15</v>
      </c>
      <c r="I280" s="5" t="n">
        <v>-105.4</v>
      </c>
      <c r="J280" s="461" t="s">
        <v>37</v>
      </c>
    </row>
    <row r="281" customFormat="false" ht="12.8" hidden="false" customHeight="false" outlineLevel="0" collapsed="false">
      <c r="G281" s="25" t="n">
        <v>44221</v>
      </c>
      <c r="H281" s="32" t="s">
        <v>15</v>
      </c>
      <c r="I281" s="5" t="n">
        <v>-200</v>
      </c>
      <c r="J281" s="6" t="s">
        <v>861</v>
      </c>
    </row>
    <row r="282" customFormat="false" ht="12.8" hidden="false" customHeight="false" outlineLevel="0" collapsed="false">
      <c r="G282" s="25" t="n">
        <v>44221</v>
      </c>
      <c r="H282" s="26" t="s">
        <v>10</v>
      </c>
      <c r="I282" s="5" t="n">
        <v>-150</v>
      </c>
      <c r="J282" s="461" t="s">
        <v>38</v>
      </c>
    </row>
    <row r="283" customFormat="false" ht="12.8" hidden="false" customHeight="false" outlineLevel="0" collapsed="false">
      <c r="G283" s="25" t="n">
        <v>44221</v>
      </c>
      <c r="H283" s="32" t="s">
        <v>15</v>
      </c>
      <c r="I283" s="5" t="n">
        <v>150</v>
      </c>
      <c r="J283" s="461" t="s">
        <v>38</v>
      </c>
    </row>
    <row r="284" customFormat="false" ht="12.8" hidden="false" customHeight="false" outlineLevel="0" collapsed="false">
      <c r="G284" s="25" t="n">
        <v>44221</v>
      </c>
      <c r="H284" s="32" t="s">
        <v>15</v>
      </c>
      <c r="I284" s="5" t="n">
        <v>-124.87</v>
      </c>
      <c r="J284" s="461" t="s">
        <v>37</v>
      </c>
    </row>
    <row r="285" customFormat="false" ht="12.8" hidden="false" customHeight="false" outlineLevel="0" collapsed="false">
      <c r="G285" s="25" t="n">
        <v>44222</v>
      </c>
      <c r="H285" s="26" t="s">
        <v>10</v>
      </c>
      <c r="I285" s="5" t="n">
        <v>-125</v>
      </c>
      <c r="J285" s="461" t="s">
        <v>38</v>
      </c>
    </row>
    <row r="286" customFormat="false" ht="12.8" hidden="false" customHeight="false" outlineLevel="0" collapsed="false">
      <c r="G286" s="25" t="n">
        <v>44222</v>
      </c>
      <c r="H286" s="32" t="s">
        <v>15</v>
      </c>
      <c r="I286" s="5" t="n">
        <v>125</v>
      </c>
      <c r="J286" s="461" t="s">
        <v>38</v>
      </c>
    </row>
    <row r="287" customFormat="false" ht="12.8" hidden="false" customHeight="false" outlineLevel="0" collapsed="false">
      <c r="G287" s="25" t="n">
        <v>44222</v>
      </c>
      <c r="H287" s="32" t="s">
        <v>15</v>
      </c>
      <c r="I287" s="5" t="n">
        <v>-117.9</v>
      </c>
      <c r="J287" s="461" t="s">
        <v>37</v>
      </c>
    </row>
    <row r="288" customFormat="false" ht="12.8" hidden="false" customHeight="false" outlineLevel="0" collapsed="false">
      <c r="G288" s="25" t="n">
        <v>44222</v>
      </c>
      <c r="H288" s="52" t="s">
        <v>14</v>
      </c>
      <c r="I288" s="5" t="n">
        <v>-750</v>
      </c>
      <c r="J288" s="461" t="s">
        <v>480</v>
      </c>
    </row>
    <row r="289" customFormat="false" ht="12.8" hidden="false" customHeight="false" outlineLevel="0" collapsed="false">
      <c r="G289" s="25" t="n">
        <v>44222</v>
      </c>
      <c r="H289" s="48" t="s">
        <v>26</v>
      </c>
      <c r="I289" s="5" t="n">
        <v>750</v>
      </c>
      <c r="J289" s="461" t="s">
        <v>850</v>
      </c>
      <c r="K289" s="465"/>
    </row>
    <row r="290" customFormat="false" ht="12.8" hidden="false" customHeight="false" outlineLevel="0" collapsed="false">
      <c r="G290" s="25" t="n">
        <v>44222</v>
      </c>
      <c r="H290" s="48" t="s">
        <v>26</v>
      </c>
      <c r="I290" s="5" t="n">
        <v>-15</v>
      </c>
      <c r="J290" s="461" t="s">
        <v>851</v>
      </c>
    </row>
    <row r="291" customFormat="false" ht="12.8" hidden="false" customHeight="false" outlineLevel="0" collapsed="false">
      <c r="G291" s="25" t="n">
        <v>44222</v>
      </c>
      <c r="H291" s="38" t="s">
        <v>832</v>
      </c>
      <c r="I291" s="5" t="n">
        <v>15</v>
      </c>
      <c r="J291" s="461" t="s">
        <v>851</v>
      </c>
    </row>
    <row r="292" customFormat="false" ht="12.8" hidden="false" customHeight="false" outlineLevel="0" collapsed="false">
      <c r="G292" s="25" t="n">
        <v>44222</v>
      </c>
      <c r="H292" s="48" t="s">
        <v>26</v>
      </c>
      <c r="I292" s="5" t="n">
        <v>-123.62</v>
      </c>
      <c r="J292" s="461" t="s">
        <v>47</v>
      </c>
    </row>
    <row r="293" customFormat="false" ht="12.8" hidden="false" customHeight="false" outlineLevel="0" collapsed="false">
      <c r="G293" s="25" t="n">
        <v>44222</v>
      </c>
      <c r="H293" s="48" t="s">
        <v>26</v>
      </c>
      <c r="I293" s="5" t="n">
        <v>-430.33</v>
      </c>
      <c r="J293" s="461" t="s">
        <v>843</v>
      </c>
      <c r="K293" s="467"/>
    </row>
    <row r="294" customFormat="false" ht="12.8" hidden="false" customHeight="false" outlineLevel="0" collapsed="false">
      <c r="G294" s="25" t="n">
        <v>44222</v>
      </c>
      <c r="H294" s="48" t="s">
        <v>26</v>
      </c>
      <c r="I294" s="5" t="n">
        <v>-87.71</v>
      </c>
      <c r="J294" s="461" t="s">
        <v>53</v>
      </c>
    </row>
    <row r="295" customFormat="false" ht="12.8" hidden="false" customHeight="false" outlineLevel="0" collapsed="false">
      <c r="G295" s="25" t="n">
        <v>44222</v>
      </c>
      <c r="H295" s="48" t="s">
        <v>26</v>
      </c>
      <c r="I295" s="5" t="n">
        <v>-65</v>
      </c>
      <c r="J295" s="461" t="s">
        <v>844</v>
      </c>
    </row>
    <row r="296" customFormat="false" ht="12.8" hidden="false" customHeight="false" outlineLevel="0" collapsed="false">
      <c r="G296" s="25" t="n">
        <v>44223</v>
      </c>
      <c r="H296" s="52" t="s">
        <v>14</v>
      </c>
      <c r="I296" s="5" t="n">
        <v>-50</v>
      </c>
      <c r="J296" s="461" t="s">
        <v>480</v>
      </c>
    </row>
    <row r="297" customFormat="false" ht="12.8" hidden="false" customHeight="false" outlineLevel="0" collapsed="false">
      <c r="G297" s="25" t="n">
        <v>44223</v>
      </c>
      <c r="H297" s="48" t="s">
        <v>26</v>
      </c>
      <c r="I297" s="5" t="n">
        <v>50</v>
      </c>
      <c r="J297" s="461" t="s">
        <v>850</v>
      </c>
    </row>
    <row r="298" customFormat="false" ht="12.8" hidden="false" customHeight="false" outlineLevel="0" collapsed="false">
      <c r="G298" s="25" t="n">
        <v>44223</v>
      </c>
      <c r="H298" s="32" t="s">
        <v>15</v>
      </c>
      <c r="I298" s="5" t="n">
        <v>2066.56</v>
      </c>
      <c r="J298" s="6" t="s">
        <v>862</v>
      </c>
    </row>
    <row r="299" customFormat="false" ht="12.8" hidden="false" customHeight="false" outlineLevel="0" collapsed="false">
      <c r="G299" s="25" t="n">
        <v>44223</v>
      </c>
      <c r="H299" s="32" t="s">
        <v>15</v>
      </c>
      <c r="I299" s="5" t="n">
        <v>-1969</v>
      </c>
      <c r="J299" s="461" t="s">
        <v>56</v>
      </c>
    </row>
    <row r="300" customFormat="false" ht="12.8" hidden="false" customHeight="false" outlineLevel="0" collapsed="false">
      <c r="G300" s="25" t="n">
        <v>44223</v>
      </c>
      <c r="H300" s="26" t="s">
        <v>10</v>
      </c>
      <c r="I300" s="5" t="n">
        <v>1969</v>
      </c>
      <c r="J300" s="461" t="s">
        <v>56</v>
      </c>
    </row>
    <row r="301" customFormat="false" ht="12.8" hidden="false" customHeight="false" outlineLevel="0" collapsed="false">
      <c r="G301" s="25" t="n">
        <v>44223</v>
      </c>
      <c r="H301" s="32" t="s">
        <v>15</v>
      </c>
      <c r="I301" s="5" t="n">
        <v>-122.38</v>
      </c>
      <c r="J301" s="461" t="s">
        <v>37</v>
      </c>
    </row>
    <row r="302" customFormat="false" ht="12.8" hidden="false" customHeight="false" outlineLevel="0" collapsed="false">
      <c r="G302" s="25" t="n">
        <v>44224</v>
      </c>
      <c r="H302" s="48" t="s">
        <v>26</v>
      </c>
      <c r="I302" s="5" t="n">
        <v>-50</v>
      </c>
      <c r="J302" s="6" t="s">
        <v>707</v>
      </c>
    </row>
    <row r="303" customFormat="false" ht="12.8" hidden="false" customHeight="false" outlineLevel="0" collapsed="false">
      <c r="G303" s="25" t="n">
        <v>44224</v>
      </c>
      <c r="H303" s="52" t="s">
        <v>14</v>
      </c>
      <c r="I303" s="5" t="n">
        <v>50</v>
      </c>
      <c r="J303" s="6" t="s">
        <v>707</v>
      </c>
    </row>
    <row r="304" customFormat="false" ht="12.8" hidden="false" customHeight="false" outlineLevel="0" collapsed="false">
      <c r="G304" s="25" t="n">
        <v>44224</v>
      </c>
      <c r="H304" s="26" t="s">
        <v>10</v>
      </c>
      <c r="I304" s="5" t="n">
        <v>-200</v>
      </c>
      <c r="J304" s="461" t="s">
        <v>38</v>
      </c>
    </row>
    <row r="305" customFormat="false" ht="12.8" hidden="false" customHeight="false" outlineLevel="0" collapsed="false">
      <c r="G305" s="25" t="n">
        <v>44224</v>
      </c>
      <c r="H305" s="32" t="s">
        <v>15</v>
      </c>
      <c r="I305" s="5" t="n">
        <v>200</v>
      </c>
      <c r="J305" s="461" t="s">
        <v>38</v>
      </c>
    </row>
    <row r="306" customFormat="false" ht="12.8" hidden="false" customHeight="false" outlineLevel="0" collapsed="false">
      <c r="G306" s="25" t="n">
        <v>44224</v>
      </c>
      <c r="H306" s="32" t="s">
        <v>15</v>
      </c>
      <c r="I306" s="5" t="n">
        <v>-50</v>
      </c>
      <c r="J306" s="461" t="s">
        <v>842</v>
      </c>
    </row>
    <row r="307" customFormat="false" ht="12.8" hidden="false" customHeight="false" outlineLevel="0" collapsed="false">
      <c r="G307" s="25" t="n">
        <v>44224</v>
      </c>
      <c r="H307" s="32" t="s">
        <v>15</v>
      </c>
      <c r="I307" s="5" t="n">
        <v>-92.14</v>
      </c>
      <c r="J307" s="461" t="s">
        <v>37</v>
      </c>
    </row>
    <row r="308" customFormat="false" ht="12.8" hidden="false" customHeight="false" outlineLevel="0" collapsed="false">
      <c r="G308" s="25" t="n">
        <v>44224</v>
      </c>
      <c r="H308" s="32" t="s">
        <v>15</v>
      </c>
      <c r="I308" s="5" t="n">
        <v>-26.5</v>
      </c>
      <c r="J308" s="6" t="s">
        <v>863</v>
      </c>
    </row>
    <row r="309" customFormat="false" ht="12.8" hidden="false" customHeight="false" outlineLevel="0" collapsed="false">
      <c r="G309" s="25" t="n">
        <v>44225</v>
      </c>
      <c r="H309" s="26" t="s">
        <v>10</v>
      </c>
      <c r="I309" s="5" t="n">
        <v>-825</v>
      </c>
      <c r="J309" s="461" t="s">
        <v>38</v>
      </c>
    </row>
    <row r="310" customFormat="false" ht="12.8" hidden="false" customHeight="false" outlineLevel="0" collapsed="false">
      <c r="G310" s="25" t="n">
        <v>44225</v>
      </c>
      <c r="H310" s="32" t="s">
        <v>15</v>
      </c>
      <c r="I310" s="5" t="n">
        <v>825</v>
      </c>
      <c r="J310" s="461" t="s">
        <v>38</v>
      </c>
    </row>
    <row r="311" customFormat="false" ht="12.8" hidden="false" customHeight="false" outlineLevel="0" collapsed="false">
      <c r="G311" s="25" t="n">
        <v>44225</v>
      </c>
      <c r="H311" s="32" t="s">
        <v>15</v>
      </c>
      <c r="I311" s="5" t="n">
        <v>-135.06</v>
      </c>
      <c r="J311" s="461" t="s">
        <v>37</v>
      </c>
    </row>
    <row r="312" customFormat="false" ht="12.8" hidden="false" customHeight="false" outlineLevel="0" collapsed="false">
      <c r="G312" s="25" t="n">
        <v>44225</v>
      </c>
      <c r="H312" s="32" t="s">
        <v>15</v>
      </c>
      <c r="I312" s="5" t="n">
        <v>-600</v>
      </c>
      <c r="J312" s="461" t="s">
        <v>864</v>
      </c>
    </row>
    <row r="313" customFormat="false" ht="12.8" hidden="false" customHeight="false" outlineLevel="0" collapsed="false">
      <c r="G313" s="25" t="n">
        <v>44225</v>
      </c>
      <c r="H313" s="32" t="s">
        <v>15</v>
      </c>
      <c r="I313" s="5" t="n">
        <v>-15</v>
      </c>
      <c r="J313" s="461" t="s">
        <v>865</v>
      </c>
    </row>
    <row r="314" customFormat="false" ht="12.8" hidden="false" customHeight="false" outlineLevel="0" collapsed="false">
      <c r="G314" s="25" t="n">
        <v>44225</v>
      </c>
      <c r="H314" s="466" t="s">
        <v>21</v>
      </c>
      <c r="I314" s="5" t="n">
        <v>15</v>
      </c>
      <c r="J314" s="461" t="s">
        <v>865</v>
      </c>
    </row>
    <row r="315" customFormat="false" ht="12.8" hidden="false" customHeight="false" outlineLevel="0" collapsed="false">
      <c r="G315" s="25" t="n">
        <v>44225</v>
      </c>
      <c r="H315" s="32" t="s">
        <v>15</v>
      </c>
      <c r="I315" s="5" t="n">
        <v>-15</v>
      </c>
      <c r="J315" s="462" t="s">
        <v>866</v>
      </c>
    </row>
    <row r="316" customFormat="false" ht="12.8" hidden="false" customHeight="false" outlineLevel="0" collapsed="false">
      <c r="G316" s="25" t="n">
        <v>44225</v>
      </c>
      <c r="H316" s="43" t="s">
        <v>23</v>
      </c>
      <c r="I316" s="5" t="n">
        <v>15</v>
      </c>
      <c r="J316" s="462" t="s">
        <v>866</v>
      </c>
    </row>
    <row r="317" customFormat="false" ht="12.8" hidden="false" customHeight="false" outlineLevel="0" collapsed="false">
      <c r="G317" s="25" t="n">
        <v>44226</v>
      </c>
      <c r="H317" s="26" t="s">
        <v>10</v>
      </c>
      <c r="I317" s="5" t="n">
        <v>-101</v>
      </c>
      <c r="J317" s="461" t="s">
        <v>38</v>
      </c>
    </row>
    <row r="318" customFormat="false" ht="12.8" hidden="false" customHeight="false" outlineLevel="0" collapsed="false">
      <c r="G318" s="25" t="n">
        <v>44226</v>
      </c>
      <c r="H318" s="32" t="s">
        <v>15</v>
      </c>
      <c r="I318" s="5" t="n">
        <v>101</v>
      </c>
      <c r="J318" s="461" t="s">
        <v>38</v>
      </c>
    </row>
    <row r="319" customFormat="false" ht="12.8" hidden="false" customHeight="false" outlineLevel="0" collapsed="false">
      <c r="G319" s="25" t="n">
        <v>44226</v>
      </c>
      <c r="H319" s="32" t="s">
        <v>15</v>
      </c>
      <c r="I319" s="5" t="n">
        <v>-162.98</v>
      </c>
      <c r="J319" s="461" t="s">
        <v>37</v>
      </c>
    </row>
    <row r="320" customFormat="false" ht="12.8" hidden="false" customHeight="false" outlineLevel="0" collapsed="false">
      <c r="G320" s="25" t="n">
        <v>44227</v>
      </c>
      <c r="H320" s="26" t="s">
        <v>10</v>
      </c>
      <c r="I320" s="5" t="n">
        <v>0.59</v>
      </c>
      <c r="J320" s="6" t="s">
        <v>857</v>
      </c>
    </row>
    <row r="321" customFormat="false" ht="12.8" hidden="false" customHeight="false" outlineLevel="0" collapsed="false">
      <c r="G321" s="25" t="n">
        <v>44227</v>
      </c>
      <c r="H321" s="26" t="s">
        <v>10</v>
      </c>
      <c r="I321" s="5" t="n">
        <v>-113</v>
      </c>
      <c r="J321" s="461" t="s">
        <v>38</v>
      </c>
    </row>
    <row r="322" customFormat="false" ht="12.8" hidden="false" customHeight="false" outlineLevel="0" collapsed="false">
      <c r="G322" s="25" t="n">
        <v>44227</v>
      </c>
      <c r="H322" s="32" t="s">
        <v>15</v>
      </c>
      <c r="I322" s="5" t="n">
        <v>113</v>
      </c>
      <c r="J322" s="461" t="s">
        <v>38</v>
      </c>
    </row>
    <row r="323" customFormat="false" ht="12.8" hidden="false" customHeight="false" outlineLevel="0" collapsed="false">
      <c r="G323" s="25" t="n">
        <v>44227</v>
      </c>
      <c r="H323" s="32" t="s">
        <v>15</v>
      </c>
      <c r="I323" s="5" t="n">
        <v>-126.05</v>
      </c>
      <c r="J323" s="461" t="s">
        <v>37</v>
      </c>
    </row>
    <row r="324" customFormat="false" ht="12.8" hidden="false" customHeight="false" outlineLevel="0" collapsed="false">
      <c r="G324" s="25" t="n">
        <v>44227</v>
      </c>
      <c r="H324" s="38" t="s">
        <v>832</v>
      </c>
      <c r="I324" s="5" t="n">
        <v>-15</v>
      </c>
      <c r="J324" s="6" t="s">
        <v>846</v>
      </c>
    </row>
    <row r="325" customFormat="false" ht="12.8" hidden="false" customHeight="false" outlineLevel="0" collapsed="false">
      <c r="G325" s="25" t="n">
        <v>44227</v>
      </c>
      <c r="H325" s="48" t="s">
        <v>26</v>
      </c>
      <c r="I325" s="5" t="n">
        <v>-10</v>
      </c>
      <c r="J325" s="6" t="s">
        <v>846</v>
      </c>
    </row>
    <row r="326" customFormat="false" ht="12.8" hidden="false" customHeight="false" outlineLevel="0" collapsed="false">
      <c r="G326" s="25" t="n">
        <v>44227</v>
      </c>
      <c r="H326" s="48" t="s">
        <v>26</v>
      </c>
      <c r="I326" s="5" t="n">
        <v>-3</v>
      </c>
      <c r="J326" s="6" t="s">
        <v>867</v>
      </c>
    </row>
    <row r="327" customFormat="false" ht="12.8" hidden="false" customHeight="false" outlineLevel="0" collapsed="false">
      <c r="G327" s="25" t="n">
        <v>44227</v>
      </c>
      <c r="H327" s="43" t="s">
        <v>23</v>
      </c>
      <c r="I327" s="5" t="n">
        <v>-15</v>
      </c>
      <c r="J327" s="461" t="s">
        <v>846</v>
      </c>
    </row>
    <row r="328" customFormat="false" ht="12.8" hidden="false" customHeight="false" outlineLevel="0" collapsed="false">
      <c r="G328" s="25" t="n">
        <v>44227</v>
      </c>
      <c r="H328" s="466" t="s">
        <v>21</v>
      </c>
      <c r="I328" s="5" t="n">
        <v>-15</v>
      </c>
      <c r="J328" s="461" t="s">
        <v>846</v>
      </c>
    </row>
    <row r="329" customFormat="false" ht="12.8" hidden="false" customHeight="false" outlineLevel="0" collapsed="false">
      <c r="G329" s="25" t="n">
        <v>44228</v>
      </c>
      <c r="H329" s="26" t="s">
        <v>10</v>
      </c>
      <c r="I329" s="5" t="n">
        <v>-176.19</v>
      </c>
      <c r="J329" s="461" t="s">
        <v>38</v>
      </c>
    </row>
    <row r="330" customFormat="false" ht="12.8" hidden="false" customHeight="false" outlineLevel="0" collapsed="false">
      <c r="G330" s="25" t="n">
        <v>44228</v>
      </c>
      <c r="H330" s="32" t="s">
        <v>15</v>
      </c>
      <c r="I330" s="5" t="n">
        <v>176.19</v>
      </c>
      <c r="J330" s="461" t="s">
        <v>38</v>
      </c>
    </row>
    <row r="331" customFormat="false" ht="12.8" hidden="false" customHeight="false" outlineLevel="0" collapsed="false">
      <c r="G331" s="25" t="n">
        <v>44228</v>
      </c>
      <c r="H331" s="32" t="s">
        <v>15</v>
      </c>
      <c r="I331" s="5" t="n">
        <v>-50</v>
      </c>
      <c r="J331" s="461" t="s">
        <v>868</v>
      </c>
    </row>
    <row r="332" customFormat="false" ht="12.8" hidden="false" customHeight="false" outlineLevel="0" collapsed="false">
      <c r="G332" s="25" t="n">
        <v>44228</v>
      </c>
      <c r="H332" s="32" t="s">
        <v>15</v>
      </c>
      <c r="I332" s="5" t="n">
        <v>-50</v>
      </c>
      <c r="J332" s="461" t="s">
        <v>868</v>
      </c>
    </row>
    <row r="333" customFormat="false" ht="12.8" hidden="false" customHeight="false" outlineLevel="0" collapsed="false">
      <c r="G333" s="25" t="n">
        <v>44228</v>
      </c>
      <c r="H333" s="26" t="s">
        <v>10</v>
      </c>
      <c r="I333" s="5" t="n">
        <v>-20</v>
      </c>
      <c r="J333" s="461" t="s">
        <v>38</v>
      </c>
    </row>
    <row r="334" customFormat="false" ht="12.8" hidden="false" customHeight="false" outlineLevel="0" collapsed="false">
      <c r="G334" s="25" t="n">
        <v>44228</v>
      </c>
      <c r="H334" s="32" t="s">
        <v>15</v>
      </c>
      <c r="I334" s="5" t="n">
        <v>20</v>
      </c>
      <c r="J334" s="461" t="s">
        <v>38</v>
      </c>
    </row>
    <row r="335" customFormat="false" ht="12.8" hidden="false" customHeight="false" outlineLevel="0" collapsed="false">
      <c r="G335" s="25" t="n">
        <v>44228</v>
      </c>
      <c r="H335" s="32" t="s">
        <v>15</v>
      </c>
      <c r="I335" s="5" t="n">
        <v>-105.64</v>
      </c>
      <c r="J335" s="461" t="s">
        <v>37</v>
      </c>
    </row>
    <row r="336" customFormat="false" ht="12.8" hidden="false" customHeight="false" outlineLevel="0" collapsed="false">
      <c r="G336" s="25" t="n">
        <v>44229</v>
      </c>
      <c r="H336" s="26" t="s">
        <v>10</v>
      </c>
      <c r="I336" s="5" t="n">
        <v>-106</v>
      </c>
      <c r="J336" s="461" t="s">
        <v>38</v>
      </c>
    </row>
    <row r="337" customFormat="false" ht="12.8" hidden="false" customHeight="false" outlineLevel="0" collapsed="false">
      <c r="G337" s="25" t="n">
        <v>44229</v>
      </c>
      <c r="H337" s="32" t="s">
        <v>15</v>
      </c>
      <c r="I337" s="5" t="n">
        <v>106</v>
      </c>
      <c r="J337" s="461" t="s">
        <v>38</v>
      </c>
    </row>
    <row r="338" customFormat="false" ht="12.8" hidden="false" customHeight="false" outlineLevel="0" collapsed="false">
      <c r="G338" s="25" t="n">
        <v>44229</v>
      </c>
      <c r="H338" s="32" t="s">
        <v>15</v>
      </c>
      <c r="I338" s="5" t="n">
        <v>-100.43</v>
      </c>
      <c r="J338" s="461" t="s">
        <v>37</v>
      </c>
    </row>
    <row r="339" customFormat="false" ht="12.8" hidden="false" customHeight="false" outlineLevel="0" collapsed="false">
      <c r="G339" s="25" t="n">
        <v>44230</v>
      </c>
      <c r="H339" s="52" t="s">
        <v>14</v>
      </c>
      <c r="I339" s="5" t="n">
        <v>-98.74</v>
      </c>
      <c r="J339" s="461" t="s">
        <v>869</v>
      </c>
    </row>
    <row r="340" customFormat="false" ht="12.8" hidden="false" customHeight="false" outlineLevel="0" collapsed="false">
      <c r="G340" s="25" t="n">
        <v>44230</v>
      </c>
      <c r="H340" s="48" t="s">
        <v>26</v>
      </c>
      <c r="I340" s="5" t="n">
        <v>104</v>
      </c>
      <c r="J340" s="461" t="s">
        <v>38</v>
      </c>
    </row>
    <row r="341" customFormat="false" ht="12.8" hidden="false" customHeight="false" outlineLevel="0" collapsed="false">
      <c r="G341" s="25" t="n">
        <v>44230</v>
      </c>
      <c r="H341" s="48" t="s">
        <v>26</v>
      </c>
      <c r="I341" s="5" t="n">
        <v>-98.79</v>
      </c>
      <c r="J341" s="461" t="s">
        <v>37</v>
      </c>
    </row>
    <row r="342" customFormat="false" ht="12.8" hidden="false" customHeight="false" outlineLevel="0" collapsed="false">
      <c r="G342" s="25" t="n">
        <v>44231</v>
      </c>
      <c r="H342" s="52" t="s">
        <v>14</v>
      </c>
      <c r="I342" s="5" t="n">
        <v>-100</v>
      </c>
      <c r="J342" s="461" t="s">
        <v>870</v>
      </c>
    </row>
    <row r="343" customFormat="false" ht="12.8" hidden="false" customHeight="false" outlineLevel="0" collapsed="false">
      <c r="G343" s="25" t="n">
        <v>44231</v>
      </c>
      <c r="H343" s="48" t="s">
        <v>26</v>
      </c>
      <c r="I343" s="5" t="n">
        <v>100</v>
      </c>
      <c r="J343" s="461" t="s">
        <v>38</v>
      </c>
    </row>
    <row r="344" customFormat="false" ht="12.8" hidden="false" customHeight="false" outlineLevel="0" collapsed="false">
      <c r="G344" s="25" t="n">
        <v>44231</v>
      </c>
      <c r="H344" s="48" t="s">
        <v>26</v>
      </c>
      <c r="I344" s="5" t="n">
        <v>-108.48</v>
      </c>
      <c r="J344" s="461" t="s">
        <v>37</v>
      </c>
    </row>
    <row r="345" customFormat="false" ht="12.8" hidden="false" customHeight="false" outlineLevel="0" collapsed="false">
      <c r="G345" s="25" t="n">
        <v>44232</v>
      </c>
      <c r="H345" s="448" t="s">
        <v>822</v>
      </c>
      <c r="I345" s="5" t="n">
        <v>-20</v>
      </c>
      <c r="J345" s="462" t="s">
        <v>871</v>
      </c>
    </row>
    <row r="346" customFormat="false" ht="12.8" hidden="false" customHeight="false" outlineLevel="0" collapsed="false">
      <c r="G346" s="25" t="n">
        <v>44232</v>
      </c>
      <c r="H346" s="448" t="s">
        <v>827</v>
      </c>
      <c r="I346" s="5" t="n">
        <v>20</v>
      </c>
      <c r="J346" s="462" t="s">
        <v>871</v>
      </c>
    </row>
    <row r="347" customFormat="false" ht="12.8" hidden="false" customHeight="false" outlineLevel="0" collapsed="false">
      <c r="G347" s="25" t="n">
        <v>44232</v>
      </c>
      <c r="H347" s="448" t="s">
        <v>827</v>
      </c>
      <c r="I347" s="5" t="n">
        <v>-20</v>
      </c>
      <c r="J347" s="462" t="s">
        <v>871</v>
      </c>
    </row>
    <row r="348" customFormat="false" ht="12.8" hidden="false" customHeight="false" outlineLevel="0" collapsed="false">
      <c r="G348" s="25" t="n">
        <v>44232</v>
      </c>
      <c r="H348" s="48" t="s">
        <v>26</v>
      </c>
      <c r="I348" s="5" t="n">
        <v>96.98</v>
      </c>
      <c r="J348" s="462" t="s">
        <v>871</v>
      </c>
    </row>
    <row r="349" customFormat="false" ht="12.8" hidden="false" customHeight="false" outlineLevel="0" collapsed="false">
      <c r="G349" s="25" t="n">
        <v>44232</v>
      </c>
      <c r="H349" s="52" t="s">
        <v>14</v>
      </c>
      <c r="I349" s="5" t="n">
        <v>-2019</v>
      </c>
      <c r="J349" s="461" t="s">
        <v>870</v>
      </c>
    </row>
    <row r="350" customFormat="false" ht="12.8" hidden="false" customHeight="false" outlineLevel="0" collapsed="false">
      <c r="G350" s="25" t="n">
        <v>44232</v>
      </c>
      <c r="H350" s="48" t="s">
        <v>26</v>
      </c>
      <c r="I350" s="5" t="n">
        <v>2019</v>
      </c>
      <c r="J350" s="461" t="s">
        <v>38</v>
      </c>
    </row>
    <row r="351" customFormat="false" ht="12.8" hidden="false" customHeight="false" outlineLevel="0" collapsed="false">
      <c r="G351" s="25" t="n">
        <v>44232</v>
      </c>
      <c r="H351" s="48" t="s">
        <v>26</v>
      </c>
      <c r="I351" s="5" t="n">
        <v>-2000</v>
      </c>
      <c r="J351" s="7" t="s">
        <v>872</v>
      </c>
    </row>
    <row r="352" customFormat="false" ht="12.8" hidden="false" customHeight="false" outlineLevel="0" collapsed="false">
      <c r="G352" s="25" t="n">
        <v>44232</v>
      </c>
      <c r="H352" s="48" t="s">
        <v>26</v>
      </c>
      <c r="I352" s="5" t="n">
        <v>-3</v>
      </c>
      <c r="J352" s="6" t="s">
        <v>873</v>
      </c>
    </row>
    <row r="353" customFormat="false" ht="12.8" hidden="false" customHeight="false" outlineLevel="0" collapsed="false">
      <c r="G353" s="25" t="n">
        <v>44232</v>
      </c>
      <c r="H353" s="32" t="s">
        <v>15</v>
      </c>
      <c r="I353" s="5" t="n">
        <v>2000</v>
      </c>
      <c r="J353" s="6" t="s">
        <v>38</v>
      </c>
    </row>
    <row r="354" customFormat="false" ht="12.8" hidden="false" customHeight="false" outlineLevel="0" collapsed="false">
      <c r="G354" s="25" t="n">
        <v>44232</v>
      </c>
      <c r="H354" s="32" t="s">
        <v>15</v>
      </c>
      <c r="I354" s="5" t="n">
        <v>-100.32</v>
      </c>
      <c r="J354" s="6" t="s">
        <v>37</v>
      </c>
    </row>
    <row r="355" customFormat="false" ht="12.8" hidden="false" customHeight="false" outlineLevel="0" collapsed="false">
      <c r="G355" s="25" t="n">
        <v>44233</v>
      </c>
      <c r="H355" s="32" t="s">
        <v>15</v>
      </c>
      <c r="I355" s="5" t="n">
        <v>-1919</v>
      </c>
      <c r="J355" s="6" t="s">
        <v>56</v>
      </c>
    </row>
    <row r="356" customFormat="false" ht="12.8" hidden="false" customHeight="false" outlineLevel="0" collapsed="false">
      <c r="G356" s="25" t="n">
        <v>44233</v>
      </c>
      <c r="H356" s="26" t="s">
        <v>10</v>
      </c>
      <c r="I356" s="5" t="n">
        <v>1919</v>
      </c>
      <c r="J356" s="6" t="s">
        <v>56</v>
      </c>
    </row>
    <row r="357" customFormat="false" ht="12.8" hidden="false" customHeight="false" outlineLevel="0" collapsed="false">
      <c r="G357" s="25" t="n">
        <v>44233</v>
      </c>
      <c r="H357" s="48" t="s">
        <v>26</v>
      </c>
      <c r="I357" s="5" t="n">
        <v>-98.21</v>
      </c>
      <c r="J357" s="6" t="s">
        <v>37</v>
      </c>
    </row>
    <row r="358" customFormat="false" ht="12.8" hidden="false" customHeight="false" outlineLevel="0" collapsed="false">
      <c r="G358" s="25" t="n">
        <v>44234</v>
      </c>
      <c r="H358" s="26" t="s">
        <v>10</v>
      </c>
      <c r="I358" s="5" t="n">
        <v>-120</v>
      </c>
      <c r="J358" s="461" t="s">
        <v>38</v>
      </c>
    </row>
    <row r="359" customFormat="false" ht="12.8" hidden="false" customHeight="false" outlineLevel="0" collapsed="false">
      <c r="G359" s="25" t="n">
        <v>44234</v>
      </c>
      <c r="H359" s="32" t="s">
        <v>15</v>
      </c>
      <c r="I359" s="5" t="n">
        <v>120</v>
      </c>
      <c r="J359" s="461" t="s">
        <v>38</v>
      </c>
    </row>
    <row r="360" customFormat="false" ht="12.8" hidden="false" customHeight="false" outlineLevel="0" collapsed="false">
      <c r="G360" s="25" t="n">
        <v>44234</v>
      </c>
      <c r="H360" s="32" t="s">
        <v>15</v>
      </c>
      <c r="I360" s="5" t="n">
        <v>-100.32</v>
      </c>
      <c r="J360" s="461" t="s">
        <v>37</v>
      </c>
    </row>
    <row r="361" customFormat="false" ht="12.8" hidden="false" customHeight="false" outlineLevel="0" collapsed="false">
      <c r="G361" s="25" t="n">
        <v>44235</v>
      </c>
      <c r="H361" s="26" t="s">
        <v>10</v>
      </c>
      <c r="I361" s="5" t="n">
        <v>-100</v>
      </c>
      <c r="J361" s="461" t="s">
        <v>38</v>
      </c>
    </row>
    <row r="362" customFormat="false" ht="12.8" hidden="false" customHeight="false" outlineLevel="0" collapsed="false">
      <c r="G362" s="25" t="n">
        <v>44235</v>
      </c>
      <c r="H362" s="32" t="s">
        <v>15</v>
      </c>
      <c r="I362" s="5" t="n">
        <v>100</v>
      </c>
      <c r="J362" s="461" t="s">
        <v>38</v>
      </c>
    </row>
    <row r="363" customFormat="false" ht="12.8" hidden="false" customHeight="false" outlineLevel="0" collapsed="false">
      <c r="G363" s="25" t="n">
        <v>44235</v>
      </c>
      <c r="H363" s="32" t="s">
        <v>15</v>
      </c>
      <c r="I363" s="5" t="n">
        <v>-114.31</v>
      </c>
      <c r="J363" s="461" t="s">
        <v>37</v>
      </c>
    </row>
    <row r="364" customFormat="false" ht="12.8" hidden="false" customHeight="false" outlineLevel="0" collapsed="false">
      <c r="G364" s="25" t="n">
        <v>44236</v>
      </c>
      <c r="H364" s="26" t="s">
        <v>10</v>
      </c>
      <c r="I364" s="5" t="n">
        <v>-194</v>
      </c>
      <c r="J364" s="461" t="s">
        <v>38</v>
      </c>
    </row>
    <row r="365" customFormat="false" ht="12.8" hidden="false" customHeight="false" outlineLevel="0" collapsed="false">
      <c r="G365" s="25" t="n">
        <v>44236</v>
      </c>
      <c r="H365" s="32" t="s">
        <v>15</v>
      </c>
      <c r="I365" s="5" t="n">
        <v>194</v>
      </c>
      <c r="J365" s="461" t="s">
        <v>38</v>
      </c>
    </row>
    <row r="366" customFormat="false" ht="12.8" hidden="false" customHeight="false" outlineLevel="0" collapsed="false">
      <c r="G366" s="25" t="n">
        <v>44236</v>
      </c>
      <c r="H366" s="32" t="s">
        <v>15</v>
      </c>
      <c r="I366" s="5" t="n">
        <v>-150.3</v>
      </c>
      <c r="J366" s="461" t="s">
        <v>37</v>
      </c>
    </row>
    <row r="367" customFormat="false" ht="12.8" hidden="false" customHeight="false" outlineLevel="0" collapsed="false">
      <c r="G367" s="25" t="n">
        <v>44236</v>
      </c>
      <c r="H367" s="32" t="s">
        <v>15</v>
      </c>
      <c r="I367" s="5" t="n">
        <v>-9</v>
      </c>
      <c r="J367" s="6" t="s">
        <v>841</v>
      </c>
    </row>
    <row r="368" customFormat="false" ht="12.8" hidden="false" customHeight="false" outlineLevel="0" collapsed="false">
      <c r="G368" s="25" t="n">
        <v>44236</v>
      </c>
      <c r="H368" s="26" t="s">
        <v>10</v>
      </c>
      <c r="I368" s="5" t="n">
        <v>-210</v>
      </c>
      <c r="J368" s="461" t="s">
        <v>38</v>
      </c>
    </row>
    <row r="369" customFormat="false" ht="12.8" hidden="false" customHeight="false" outlineLevel="0" collapsed="false">
      <c r="G369" s="25" t="n">
        <v>44236</v>
      </c>
      <c r="H369" s="32" t="s">
        <v>15</v>
      </c>
      <c r="I369" s="5" t="n">
        <v>210</v>
      </c>
      <c r="J369" s="461" t="s">
        <v>38</v>
      </c>
    </row>
    <row r="370" customFormat="false" ht="12.8" hidden="false" customHeight="false" outlineLevel="0" collapsed="false">
      <c r="G370" s="25" t="n">
        <v>44236</v>
      </c>
      <c r="H370" s="32" t="s">
        <v>15</v>
      </c>
      <c r="I370" s="5" t="n">
        <v>-100</v>
      </c>
      <c r="J370" s="461" t="s">
        <v>868</v>
      </c>
    </row>
    <row r="371" customFormat="false" ht="12.8" hidden="false" customHeight="false" outlineLevel="0" collapsed="false">
      <c r="G371" s="25" t="n">
        <v>44237</v>
      </c>
      <c r="H371" s="26" t="s">
        <v>10</v>
      </c>
      <c r="I371" s="5" t="n">
        <v>0</v>
      </c>
      <c r="J371" s="461" t="s">
        <v>38</v>
      </c>
    </row>
    <row r="372" customFormat="false" ht="12.8" hidden="false" customHeight="false" outlineLevel="0" collapsed="false">
      <c r="G372" s="25" t="n">
        <v>44237</v>
      </c>
      <c r="H372" s="32" t="s">
        <v>15</v>
      </c>
      <c r="I372" s="5" t="n">
        <v>0</v>
      </c>
      <c r="J372" s="461" t="s">
        <v>38</v>
      </c>
    </row>
    <row r="373" customFormat="false" ht="12.8" hidden="false" customHeight="false" outlineLevel="0" collapsed="false">
      <c r="G373" s="25" t="n">
        <v>44237</v>
      </c>
      <c r="H373" s="32" t="s">
        <v>15</v>
      </c>
      <c r="I373" s="5" t="n">
        <v>-145.76</v>
      </c>
      <c r="J373" s="461" t="s">
        <v>37</v>
      </c>
    </row>
    <row r="374" customFormat="false" ht="12.8" hidden="false" customHeight="false" outlineLevel="0" collapsed="false">
      <c r="G374" s="25" t="n">
        <v>44238</v>
      </c>
      <c r="H374" s="26" t="s">
        <v>10</v>
      </c>
      <c r="I374" s="5" t="n">
        <v>-145</v>
      </c>
      <c r="J374" s="461" t="s">
        <v>38</v>
      </c>
    </row>
    <row r="375" customFormat="false" ht="12.8" hidden="false" customHeight="false" outlineLevel="0" collapsed="false">
      <c r="G375" s="25" t="n">
        <v>44238</v>
      </c>
      <c r="H375" s="32" t="s">
        <v>15</v>
      </c>
      <c r="I375" s="5" t="n">
        <v>145</v>
      </c>
      <c r="J375" s="461" t="s">
        <v>38</v>
      </c>
    </row>
    <row r="376" customFormat="false" ht="12.8" hidden="false" customHeight="false" outlineLevel="0" collapsed="false">
      <c r="G376" s="25" t="n">
        <v>44238</v>
      </c>
      <c r="H376" s="32" t="s">
        <v>15</v>
      </c>
      <c r="I376" s="5" t="n">
        <v>-97.85</v>
      </c>
      <c r="J376" s="461" t="s">
        <v>37</v>
      </c>
    </row>
    <row r="377" customFormat="false" ht="12.8" hidden="false" customHeight="false" outlineLevel="0" collapsed="false">
      <c r="G377" s="25" t="n">
        <v>44238</v>
      </c>
      <c r="H377" s="32" t="s">
        <v>15</v>
      </c>
      <c r="I377" s="5" t="n">
        <v>-39</v>
      </c>
      <c r="J377" s="6" t="s">
        <v>874</v>
      </c>
    </row>
    <row r="378" customFormat="false" ht="12.8" hidden="false" customHeight="false" outlineLevel="0" collapsed="false">
      <c r="G378" s="25" t="n">
        <v>44239</v>
      </c>
      <c r="H378" s="26" t="s">
        <v>10</v>
      </c>
      <c r="I378" s="5" t="n">
        <v>-107</v>
      </c>
      <c r="J378" s="461" t="s">
        <v>38</v>
      </c>
    </row>
    <row r="379" customFormat="false" ht="12.8" hidden="false" customHeight="false" outlineLevel="0" collapsed="false">
      <c r="G379" s="25" t="n">
        <v>44239</v>
      </c>
      <c r="H379" s="32" t="s">
        <v>15</v>
      </c>
      <c r="I379" s="5" t="n">
        <v>107</v>
      </c>
      <c r="J379" s="461" t="s">
        <v>38</v>
      </c>
    </row>
    <row r="380" customFormat="false" ht="12.8" hidden="false" customHeight="false" outlineLevel="0" collapsed="false">
      <c r="G380" s="25" t="n">
        <v>44239</v>
      </c>
      <c r="H380" s="32" t="s">
        <v>15</v>
      </c>
      <c r="I380" s="5" t="n">
        <v>-115.78</v>
      </c>
      <c r="J380" s="461" t="s">
        <v>37</v>
      </c>
    </row>
    <row r="381" customFormat="false" ht="12.8" hidden="false" customHeight="false" outlineLevel="0" collapsed="false">
      <c r="G381" s="25" t="n">
        <v>44240</v>
      </c>
      <c r="H381" s="26" t="s">
        <v>10</v>
      </c>
      <c r="I381" s="5" t="n">
        <v>-146</v>
      </c>
      <c r="J381" s="461" t="s">
        <v>38</v>
      </c>
    </row>
    <row r="382" customFormat="false" ht="12.8" hidden="false" customHeight="false" outlineLevel="0" collapsed="false">
      <c r="G382" s="25" t="n">
        <v>44240</v>
      </c>
      <c r="H382" s="32" t="s">
        <v>15</v>
      </c>
      <c r="I382" s="5" t="n">
        <v>146</v>
      </c>
      <c r="J382" s="461" t="s">
        <v>38</v>
      </c>
    </row>
    <row r="383" customFormat="false" ht="12.8" hidden="false" customHeight="false" outlineLevel="0" collapsed="false">
      <c r="G383" s="25" t="n">
        <v>44240</v>
      </c>
      <c r="H383" s="32" t="s">
        <v>15</v>
      </c>
      <c r="I383" s="5" t="n">
        <v>-144.12</v>
      </c>
      <c r="J383" s="461" t="s">
        <v>37</v>
      </c>
    </row>
    <row r="384" customFormat="false" ht="12.8" hidden="false" customHeight="false" outlineLevel="0" collapsed="false">
      <c r="G384" s="25" t="n">
        <v>44241</v>
      </c>
      <c r="H384" s="26" t="s">
        <v>10</v>
      </c>
      <c r="I384" s="5" t="n">
        <v>-144</v>
      </c>
      <c r="J384" s="461" t="s">
        <v>38</v>
      </c>
    </row>
    <row r="385" customFormat="false" ht="12.8" hidden="false" customHeight="false" outlineLevel="0" collapsed="false">
      <c r="G385" s="25" t="n">
        <v>44241</v>
      </c>
      <c r="H385" s="32" t="s">
        <v>15</v>
      </c>
      <c r="I385" s="5" t="n">
        <v>144</v>
      </c>
      <c r="J385" s="461" t="s">
        <v>38</v>
      </c>
    </row>
    <row r="386" customFormat="false" ht="12.8" hidden="false" customHeight="false" outlineLevel="0" collapsed="false">
      <c r="G386" s="25" t="n">
        <v>44241</v>
      </c>
      <c r="H386" s="32" t="s">
        <v>15</v>
      </c>
      <c r="I386" s="5" t="n">
        <v>-142.48</v>
      </c>
      <c r="J386" s="461" t="s">
        <v>37</v>
      </c>
    </row>
    <row r="387" customFormat="false" ht="12.8" hidden="false" customHeight="false" outlineLevel="0" collapsed="false">
      <c r="G387" s="25" t="n">
        <v>44242</v>
      </c>
      <c r="H387" s="26" t="s">
        <v>10</v>
      </c>
      <c r="I387" s="5" t="n">
        <v>-143</v>
      </c>
      <c r="J387" s="461" t="s">
        <v>38</v>
      </c>
    </row>
    <row r="388" customFormat="false" ht="12.8" hidden="false" customHeight="false" outlineLevel="0" collapsed="false">
      <c r="G388" s="25" t="n">
        <v>44242</v>
      </c>
      <c r="H388" s="32" t="s">
        <v>15</v>
      </c>
      <c r="I388" s="5" t="n">
        <v>143</v>
      </c>
      <c r="J388" s="461" t="s">
        <v>38</v>
      </c>
    </row>
    <row r="389" customFormat="false" ht="12.8" hidden="false" customHeight="false" outlineLevel="0" collapsed="false">
      <c r="G389" s="25" t="n">
        <v>44242</v>
      </c>
      <c r="H389" s="32" t="s">
        <v>15</v>
      </c>
      <c r="I389" s="5" t="n">
        <v>-138.39</v>
      </c>
      <c r="J389" s="461" t="s">
        <v>37</v>
      </c>
    </row>
    <row r="390" customFormat="false" ht="12.8" hidden="false" customHeight="false" outlineLevel="0" collapsed="false">
      <c r="G390" s="25" t="n">
        <v>44243</v>
      </c>
      <c r="H390" s="26" t="s">
        <v>10</v>
      </c>
      <c r="I390" s="5" t="n">
        <v>-138</v>
      </c>
      <c r="J390" s="461" t="s">
        <v>38</v>
      </c>
    </row>
    <row r="391" customFormat="false" ht="12.8" hidden="false" customHeight="false" outlineLevel="0" collapsed="false">
      <c r="G391" s="25" t="n">
        <v>44243</v>
      </c>
      <c r="H391" s="32" t="s">
        <v>15</v>
      </c>
      <c r="I391" s="5" t="n">
        <v>138</v>
      </c>
      <c r="J391" s="461" t="s">
        <v>38</v>
      </c>
    </row>
    <row r="392" customFormat="false" ht="12.8" hidden="false" customHeight="false" outlineLevel="0" collapsed="false">
      <c r="G392" s="25" t="n">
        <v>44243</v>
      </c>
      <c r="H392" s="32" t="s">
        <v>15</v>
      </c>
      <c r="I392" s="5" t="n">
        <v>-137.15</v>
      </c>
      <c r="J392" s="461" t="s">
        <v>37</v>
      </c>
    </row>
    <row r="393" customFormat="false" ht="12.8" hidden="false" customHeight="false" outlineLevel="0" collapsed="false">
      <c r="G393" s="25" t="n">
        <v>44244</v>
      </c>
      <c r="H393" s="26" t="s">
        <v>10</v>
      </c>
      <c r="I393" s="5" t="n">
        <v>-137</v>
      </c>
      <c r="J393" s="461" t="s">
        <v>38</v>
      </c>
    </row>
    <row r="394" customFormat="false" ht="12.8" hidden="false" customHeight="false" outlineLevel="0" collapsed="false">
      <c r="G394" s="25" t="n">
        <v>44244</v>
      </c>
      <c r="H394" s="32" t="s">
        <v>15</v>
      </c>
      <c r="I394" s="5" t="n">
        <v>137</v>
      </c>
      <c r="J394" s="461" t="s">
        <v>38</v>
      </c>
    </row>
    <row r="395" customFormat="false" ht="12.8" hidden="false" customHeight="false" outlineLevel="0" collapsed="false">
      <c r="G395" s="25" t="n">
        <v>44244</v>
      </c>
      <c r="H395" s="32" t="s">
        <v>15</v>
      </c>
      <c r="I395" s="5" t="n">
        <v>-125.17</v>
      </c>
      <c r="J395" s="461" t="s">
        <v>37</v>
      </c>
    </row>
    <row r="396" customFormat="false" ht="12.8" hidden="false" customHeight="false" outlineLevel="0" collapsed="false">
      <c r="G396" s="25" t="n">
        <v>44245</v>
      </c>
      <c r="H396" s="26" t="s">
        <v>10</v>
      </c>
      <c r="I396" s="5" t="n">
        <v>-150</v>
      </c>
      <c r="J396" s="461" t="s">
        <v>38</v>
      </c>
    </row>
    <row r="397" customFormat="false" ht="12.8" hidden="false" customHeight="false" outlineLevel="0" collapsed="false">
      <c r="G397" s="25" t="n">
        <v>44245</v>
      </c>
      <c r="H397" s="32" t="s">
        <v>15</v>
      </c>
      <c r="I397" s="5" t="n">
        <v>150</v>
      </c>
      <c r="J397" s="461" t="s">
        <v>38</v>
      </c>
    </row>
    <row r="398" customFormat="false" ht="12.8" hidden="false" customHeight="false" outlineLevel="0" collapsed="false">
      <c r="G398" s="25" t="n">
        <v>44245</v>
      </c>
      <c r="H398" s="32" t="s">
        <v>15</v>
      </c>
      <c r="I398" s="5" t="n">
        <v>-135.13</v>
      </c>
      <c r="J398" s="461" t="s">
        <v>37</v>
      </c>
    </row>
    <row r="399" customFormat="false" ht="12.8" hidden="false" customHeight="false" outlineLevel="0" collapsed="false">
      <c r="G399" s="25" t="n">
        <v>44246</v>
      </c>
      <c r="H399" s="26" t="s">
        <v>10</v>
      </c>
      <c r="I399" s="5" t="n">
        <v>-150</v>
      </c>
      <c r="J399" s="461" t="s">
        <v>38</v>
      </c>
    </row>
    <row r="400" customFormat="false" ht="12.8" hidden="false" customHeight="false" outlineLevel="0" collapsed="false">
      <c r="G400" s="25" t="n">
        <v>44246</v>
      </c>
      <c r="H400" s="32" t="s">
        <v>15</v>
      </c>
      <c r="I400" s="5" t="n">
        <v>150</v>
      </c>
      <c r="J400" s="461" t="s">
        <v>38</v>
      </c>
    </row>
    <row r="401" customFormat="false" ht="12.8" hidden="false" customHeight="false" outlineLevel="0" collapsed="false">
      <c r="G401" s="25" t="n">
        <v>44246</v>
      </c>
      <c r="H401" s="32" t="s">
        <v>15</v>
      </c>
      <c r="I401" s="5" t="n">
        <v>-123.17</v>
      </c>
      <c r="J401" s="461" t="s">
        <v>37</v>
      </c>
    </row>
    <row r="402" customFormat="false" ht="12.8" hidden="false" customHeight="false" outlineLevel="0" collapsed="false">
      <c r="G402" s="25" t="n">
        <v>44246</v>
      </c>
      <c r="H402" s="32" t="s">
        <v>15</v>
      </c>
      <c r="I402" s="5" t="n">
        <v>-50</v>
      </c>
      <c r="J402" s="6" t="s">
        <v>868</v>
      </c>
    </row>
    <row r="403" customFormat="false" ht="12.8" hidden="false" customHeight="false" outlineLevel="0" collapsed="false">
      <c r="G403" s="25" t="n">
        <v>44247</v>
      </c>
      <c r="H403" s="26" t="s">
        <v>10</v>
      </c>
      <c r="I403" s="5" t="n">
        <v>-150</v>
      </c>
      <c r="J403" s="461" t="s">
        <v>38</v>
      </c>
    </row>
    <row r="404" customFormat="false" ht="12.8" hidden="false" customHeight="false" outlineLevel="0" collapsed="false">
      <c r="G404" s="25" t="n">
        <v>44247</v>
      </c>
      <c r="H404" s="32" t="s">
        <v>15</v>
      </c>
      <c r="I404" s="5" t="n">
        <v>150</v>
      </c>
      <c r="J404" s="461" t="s">
        <v>38</v>
      </c>
    </row>
    <row r="405" customFormat="false" ht="12.8" hidden="false" customHeight="false" outlineLevel="0" collapsed="false">
      <c r="G405" s="25" t="n">
        <v>44247</v>
      </c>
      <c r="H405" s="32" t="s">
        <v>15</v>
      </c>
      <c r="I405" s="5" t="n">
        <v>-122.33</v>
      </c>
      <c r="J405" s="461" t="s">
        <v>37</v>
      </c>
    </row>
    <row r="406" customFormat="false" ht="12.8" hidden="false" customHeight="false" outlineLevel="0" collapsed="false">
      <c r="G406" s="25" t="n">
        <v>44247</v>
      </c>
      <c r="H406" s="32" t="s">
        <v>15</v>
      </c>
      <c r="I406" s="5" t="n">
        <v>-35</v>
      </c>
      <c r="J406" s="6" t="s">
        <v>875</v>
      </c>
    </row>
    <row r="407" customFormat="false" ht="12.8" hidden="false" customHeight="false" outlineLevel="0" collapsed="false">
      <c r="G407" s="25" t="n">
        <v>44248</v>
      </c>
      <c r="H407" s="26" t="s">
        <v>10</v>
      </c>
      <c r="I407" s="5" t="n">
        <v>-130</v>
      </c>
      <c r="J407" s="461" t="s">
        <v>38</v>
      </c>
    </row>
    <row r="408" customFormat="false" ht="12.8" hidden="false" customHeight="false" outlineLevel="0" collapsed="false">
      <c r="G408" s="25" t="n">
        <v>44248</v>
      </c>
      <c r="H408" s="32" t="s">
        <v>15</v>
      </c>
      <c r="I408" s="5" t="n">
        <v>130</v>
      </c>
      <c r="J408" s="461" t="s">
        <v>38</v>
      </c>
    </row>
    <row r="409" customFormat="false" ht="12.8" hidden="false" customHeight="false" outlineLevel="0" collapsed="false">
      <c r="G409" s="25" t="n">
        <v>44248</v>
      </c>
      <c r="H409" s="32" t="s">
        <v>15</v>
      </c>
      <c r="I409" s="5" t="n">
        <v>-113.3</v>
      </c>
      <c r="J409" s="461" t="s">
        <v>37</v>
      </c>
    </row>
    <row r="410" customFormat="false" ht="12.8" hidden="false" customHeight="false" outlineLevel="0" collapsed="false">
      <c r="G410" s="25" t="n">
        <v>44248</v>
      </c>
      <c r="H410" s="32" t="s">
        <v>15</v>
      </c>
      <c r="I410" s="5" t="n">
        <v>-10.92</v>
      </c>
      <c r="J410" s="6" t="s">
        <v>841</v>
      </c>
    </row>
    <row r="411" customFormat="false" ht="12.8" hidden="false" customHeight="false" outlineLevel="0" collapsed="false">
      <c r="G411" s="25" t="n">
        <v>44249</v>
      </c>
      <c r="H411" s="52" t="s">
        <v>14</v>
      </c>
      <c r="I411" s="5" t="n">
        <v>-300</v>
      </c>
      <c r="J411" s="6" t="s">
        <v>685</v>
      </c>
    </row>
    <row r="412" customFormat="false" ht="12.8" hidden="false" customHeight="false" outlineLevel="0" collapsed="false">
      <c r="G412" s="25" t="n">
        <v>44249</v>
      </c>
      <c r="H412" s="48" t="s">
        <v>26</v>
      </c>
      <c r="I412" s="5" t="n">
        <v>300</v>
      </c>
      <c r="J412" s="6" t="s">
        <v>38</v>
      </c>
    </row>
    <row r="413" customFormat="false" ht="12.8" hidden="false" customHeight="false" outlineLevel="0" collapsed="false">
      <c r="G413" s="25" t="n">
        <v>44249</v>
      </c>
      <c r="H413" s="48" t="s">
        <v>26</v>
      </c>
      <c r="I413" s="5" t="n">
        <v>-39.5</v>
      </c>
      <c r="J413" s="6" t="s">
        <v>876</v>
      </c>
    </row>
    <row r="414" customFormat="false" ht="12.8" hidden="false" customHeight="false" outlineLevel="0" collapsed="false">
      <c r="G414" s="25" t="n">
        <v>44249</v>
      </c>
      <c r="H414" s="48" t="s">
        <v>26</v>
      </c>
      <c r="I414" s="5" t="n">
        <v>-106.39</v>
      </c>
      <c r="J414" s="6" t="s">
        <v>47</v>
      </c>
    </row>
    <row r="415" customFormat="false" ht="12.8" hidden="false" customHeight="false" outlineLevel="0" collapsed="false">
      <c r="G415" s="25" t="n">
        <v>44249</v>
      </c>
      <c r="H415" s="48" t="s">
        <v>26</v>
      </c>
      <c r="I415" s="5" t="n">
        <v>-65</v>
      </c>
      <c r="J415" s="6" t="s">
        <v>844</v>
      </c>
    </row>
    <row r="416" customFormat="false" ht="12.8" hidden="false" customHeight="false" outlineLevel="0" collapsed="false">
      <c r="G416" s="25" t="n">
        <v>44249</v>
      </c>
      <c r="H416" s="48" t="s">
        <v>26</v>
      </c>
      <c r="I416" s="5" t="n">
        <v>-87.71</v>
      </c>
      <c r="J416" s="6" t="s">
        <v>53</v>
      </c>
    </row>
    <row r="417" customFormat="false" ht="12.8" hidden="false" customHeight="false" outlineLevel="0" collapsed="false">
      <c r="G417" s="25" t="n">
        <v>44249</v>
      </c>
      <c r="H417" s="26" t="s">
        <v>10</v>
      </c>
      <c r="I417" s="5" t="n">
        <v>-120</v>
      </c>
      <c r="J417" s="461" t="s">
        <v>38</v>
      </c>
    </row>
    <row r="418" customFormat="false" ht="12.8" hidden="false" customHeight="false" outlineLevel="0" collapsed="false">
      <c r="G418" s="25" t="n">
        <v>44249</v>
      </c>
      <c r="H418" s="32" t="s">
        <v>15</v>
      </c>
      <c r="I418" s="5" t="n">
        <v>120</v>
      </c>
      <c r="J418" s="461" t="s">
        <v>38</v>
      </c>
    </row>
    <row r="419" customFormat="false" ht="12.8" hidden="false" customHeight="false" outlineLevel="0" collapsed="false">
      <c r="G419" s="25" t="n">
        <v>44249</v>
      </c>
      <c r="H419" s="32" t="s">
        <v>15</v>
      </c>
      <c r="I419" s="5" t="n">
        <v>-126.39</v>
      </c>
      <c r="J419" s="461" t="s">
        <v>37</v>
      </c>
    </row>
    <row r="420" customFormat="false" ht="12.8" hidden="false" customHeight="false" outlineLevel="0" collapsed="false">
      <c r="G420" s="25" t="n">
        <v>44250</v>
      </c>
      <c r="H420" s="26" t="s">
        <v>10</v>
      </c>
      <c r="I420" s="5" t="n">
        <v>-150</v>
      </c>
      <c r="J420" s="461" t="s">
        <v>38</v>
      </c>
    </row>
    <row r="421" customFormat="false" ht="12.8" hidden="false" customHeight="false" outlineLevel="0" collapsed="false">
      <c r="G421" s="25" t="n">
        <v>44250</v>
      </c>
      <c r="H421" s="32" t="s">
        <v>15</v>
      </c>
      <c r="I421" s="5" t="n">
        <v>150</v>
      </c>
      <c r="J421" s="461" t="s">
        <v>38</v>
      </c>
    </row>
    <row r="422" customFormat="false" ht="12.8" hidden="false" customHeight="false" outlineLevel="0" collapsed="false">
      <c r="G422" s="25" t="n">
        <v>44250</v>
      </c>
      <c r="H422" s="32" t="s">
        <v>15</v>
      </c>
      <c r="I422" s="5" t="n">
        <v>-88.46</v>
      </c>
      <c r="J422" s="461" t="s">
        <v>37</v>
      </c>
    </row>
    <row r="423" customFormat="false" ht="12.8" hidden="false" customHeight="false" outlineLevel="0" collapsed="false">
      <c r="G423" s="25" t="n">
        <v>44250</v>
      </c>
      <c r="H423" s="32" t="s">
        <v>15</v>
      </c>
      <c r="I423" s="5" t="n">
        <v>-50</v>
      </c>
      <c r="J423" s="6" t="s">
        <v>868</v>
      </c>
    </row>
    <row r="424" customFormat="false" ht="12.8" hidden="false" customHeight="false" outlineLevel="0" collapsed="false">
      <c r="G424" s="25" t="n">
        <v>44250</v>
      </c>
      <c r="H424" s="26" t="s">
        <v>10</v>
      </c>
      <c r="I424" s="5" t="n">
        <v>-60</v>
      </c>
      <c r="J424" s="461" t="s">
        <v>38</v>
      </c>
    </row>
    <row r="425" customFormat="false" ht="12.8" hidden="false" customHeight="false" outlineLevel="0" collapsed="false">
      <c r="G425" s="25" t="n">
        <v>44250</v>
      </c>
      <c r="H425" s="32" t="s">
        <v>15</v>
      </c>
      <c r="I425" s="5" t="n">
        <v>60</v>
      </c>
      <c r="J425" s="461" t="s">
        <v>38</v>
      </c>
    </row>
    <row r="426" customFormat="false" ht="12.8" hidden="false" customHeight="false" outlineLevel="0" collapsed="false">
      <c r="G426" s="25" t="n">
        <v>44250</v>
      </c>
      <c r="H426" s="32" t="s">
        <v>15</v>
      </c>
      <c r="I426" s="5" t="n">
        <v>-80</v>
      </c>
      <c r="J426" s="6" t="s">
        <v>868</v>
      </c>
    </row>
    <row r="427" customFormat="false" ht="12.8" hidden="false" customHeight="false" outlineLevel="0" collapsed="false">
      <c r="G427" s="25" t="n">
        <v>44251</v>
      </c>
      <c r="H427" s="26" t="s">
        <v>10</v>
      </c>
      <c r="I427" s="5" t="n">
        <v>-50</v>
      </c>
      <c r="J427" s="461" t="s">
        <v>38</v>
      </c>
    </row>
    <row r="428" customFormat="false" ht="12.8" hidden="false" customHeight="false" outlineLevel="0" collapsed="false">
      <c r="G428" s="25" t="n">
        <v>44251</v>
      </c>
      <c r="H428" s="32" t="s">
        <v>15</v>
      </c>
      <c r="I428" s="5" t="n">
        <v>50</v>
      </c>
      <c r="J428" s="461" t="s">
        <v>38</v>
      </c>
    </row>
    <row r="429" customFormat="false" ht="12.8" hidden="false" customHeight="false" outlineLevel="0" collapsed="false">
      <c r="G429" s="25" t="n">
        <v>44251</v>
      </c>
      <c r="H429" s="32" t="s">
        <v>15</v>
      </c>
      <c r="I429" s="5" t="n">
        <v>-50</v>
      </c>
      <c r="J429" s="461" t="s">
        <v>868</v>
      </c>
    </row>
    <row r="430" customFormat="false" ht="12.8" hidden="false" customHeight="false" outlineLevel="0" collapsed="false">
      <c r="G430" s="25" t="n">
        <v>44251</v>
      </c>
      <c r="H430" s="52" t="s">
        <v>14</v>
      </c>
      <c r="I430" s="5" t="n">
        <v>-130</v>
      </c>
      <c r="J430" s="6" t="s">
        <v>685</v>
      </c>
    </row>
    <row r="431" customFormat="false" ht="12.8" hidden="false" customHeight="false" outlineLevel="0" collapsed="false">
      <c r="G431" s="25" t="n">
        <v>44251</v>
      </c>
      <c r="H431" s="48" t="s">
        <v>26</v>
      </c>
      <c r="I431" s="5" t="n">
        <v>130</v>
      </c>
      <c r="J431" s="6" t="s">
        <v>38</v>
      </c>
    </row>
    <row r="432" customFormat="false" ht="12.8" hidden="false" customHeight="false" outlineLevel="0" collapsed="false">
      <c r="G432" s="25" t="n">
        <v>44251</v>
      </c>
      <c r="H432" s="48" t="s">
        <v>26</v>
      </c>
      <c r="I432" s="5" t="n">
        <v>-118.34</v>
      </c>
      <c r="J432" s="6" t="s">
        <v>37</v>
      </c>
    </row>
    <row r="433" customFormat="false" ht="12.8" hidden="false" customHeight="false" outlineLevel="0" collapsed="false">
      <c r="G433" s="25" t="n">
        <v>44252</v>
      </c>
      <c r="H433" s="52" t="s">
        <v>14</v>
      </c>
      <c r="I433" s="5" t="n">
        <v>-100</v>
      </c>
      <c r="J433" s="6" t="s">
        <v>685</v>
      </c>
    </row>
    <row r="434" customFormat="false" ht="12.8" hidden="false" customHeight="false" outlineLevel="0" collapsed="false">
      <c r="G434" s="25" t="n">
        <v>44252</v>
      </c>
      <c r="H434" s="48" t="s">
        <v>26</v>
      </c>
      <c r="I434" s="5" t="n">
        <v>100</v>
      </c>
      <c r="J434" s="6" t="s">
        <v>38</v>
      </c>
    </row>
    <row r="435" customFormat="false" ht="12.8" hidden="false" customHeight="false" outlineLevel="0" collapsed="false">
      <c r="G435" s="25" t="n">
        <v>44252</v>
      </c>
      <c r="H435" s="48" t="s">
        <v>26</v>
      </c>
      <c r="I435" s="5" t="n">
        <v>-90.4</v>
      </c>
      <c r="J435" s="6" t="s">
        <v>37</v>
      </c>
    </row>
    <row r="436" customFormat="false" ht="12.8" hidden="false" customHeight="false" outlineLevel="0" collapsed="false">
      <c r="G436" s="25" t="n">
        <v>44253</v>
      </c>
      <c r="H436" s="52" t="s">
        <v>14</v>
      </c>
      <c r="I436" s="5" t="n">
        <v>-100</v>
      </c>
      <c r="J436" s="6" t="s">
        <v>685</v>
      </c>
    </row>
    <row r="437" customFormat="false" ht="12.8" hidden="false" customHeight="false" outlineLevel="0" collapsed="false">
      <c r="G437" s="25" t="n">
        <v>44253</v>
      </c>
      <c r="H437" s="48" t="s">
        <v>26</v>
      </c>
      <c r="I437" s="5" t="n">
        <v>100</v>
      </c>
      <c r="J437" s="6" t="s">
        <v>38</v>
      </c>
    </row>
    <row r="438" customFormat="false" ht="12.8" hidden="false" customHeight="false" outlineLevel="0" collapsed="false">
      <c r="G438" s="25" t="n">
        <v>44253</v>
      </c>
      <c r="H438" s="48" t="s">
        <v>26</v>
      </c>
      <c r="I438" s="5" t="n">
        <v>-106.96</v>
      </c>
      <c r="J438" s="6" t="s">
        <v>37</v>
      </c>
    </row>
    <row r="439" customFormat="false" ht="12.8" hidden="false" customHeight="false" outlineLevel="0" collapsed="false">
      <c r="G439" s="25" t="n">
        <v>44253</v>
      </c>
      <c r="H439" s="448" t="s">
        <v>822</v>
      </c>
      <c r="I439" s="5" t="n">
        <v>-0.7</v>
      </c>
      <c r="J439" s="6" t="s">
        <v>877</v>
      </c>
    </row>
    <row r="440" customFormat="false" ht="12.8" hidden="false" customHeight="false" outlineLevel="0" collapsed="false">
      <c r="G440" s="25" t="n">
        <v>44253</v>
      </c>
      <c r="H440" s="448" t="s">
        <v>827</v>
      </c>
      <c r="I440" s="5" t="n">
        <v>0.7</v>
      </c>
      <c r="J440" s="462" t="s">
        <v>877</v>
      </c>
    </row>
    <row r="441" customFormat="false" ht="12.8" hidden="false" customHeight="false" outlineLevel="0" collapsed="false">
      <c r="G441" s="25" t="n">
        <v>44253</v>
      </c>
      <c r="H441" s="448" t="s">
        <v>827</v>
      </c>
      <c r="I441" s="5" t="n">
        <v>-0.7</v>
      </c>
      <c r="J441" s="462" t="s">
        <v>878</v>
      </c>
    </row>
    <row r="442" customFormat="false" ht="12.8" hidden="false" customHeight="false" outlineLevel="0" collapsed="false">
      <c r="G442" s="25" t="n">
        <v>44253</v>
      </c>
      <c r="H442" s="48" t="s">
        <v>26</v>
      </c>
      <c r="I442" s="5" t="n">
        <v>3.39</v>
      </c>
      <c r="J442" s="462" t="s">
        <v>878</v>
      </c>
    </row>
    <row r="443" customFormat="false" ht="12.8" hidden="false" customHeight="false" outlineLevel="0" collapsed="false">
      <c r="G443" s="25" t="n">
        <v>44254</v>
      </c>
      <c r="H443" s="48" t="s">
        <v>26</v>
      </c>
      <c r="I443" s="5" t="n">
        <v>-15</v>
      </c>
      <c r="J443" s="6" t="s">
        <v>879</v>
      </c>
    </row>
    <row r="444" customFormat="false" ht="12.8" hidden="false" customHeight="false" outlineLevel="0" collapsed="false">
      <c r="G444" s="25" t="n">
        <v>44254</v>
      </c>
      <c r="H444" s="38" t="s">
        <v>832</v>
      </c>
      <c r="I444" s="5" t="n">
        <v>15</v>
      </c>
      <c r="J444" s="6" t="s">
        <v>880</v>
      </c>
    </row>
    <row r="445" customFormat="false" ht="12.8" hidden="false" customHeight="false" outlineLevel="0" collapsed="false">
      <c r="G445" s="25" t="n">
        <v>44254</v>
      </c>
      <c r="H445" s="52" t="s">
        <v>14</v>
      </c>
      <c r="I445" s="5" t="n">
        <v>-135</v>
      </c>
      <c r="J445" s="6" t="s">
        <v>685</v>
      </c>
    </row>
    <row r="446" customFormat="false" ht="12.8" hidden="false" customHeight="false" outlineLevel="0" collapsed="false">
      <c r="G446" s="25" t="n">
        <v>44254</v>
      </c>
      <c r="H446" s="48" t="s">
        <v>26</v>
      </c>
      <c r="I446" s="5" t="n">
        <v>135</v>
      </c>
      <c r="J446" s="6" t="s">
        <v>38</v>
      </c>
    </row>
    <row r="447" customFormat="false" ht="12.8" hidden="false" customHeight="false" outlineLevel="0" collapsed="false">
      <c r="G447" s="25" t="n">
        <v>44254</v>
      </c>
      <c r="H447" s="48" t="s">
        <v>26</v>
      </c>
      <c r="I447" s="5" t="n">
        <v>-137.92</v>
      </c>
      <c r="J447" s="6" t="s">
        <v>37</v>
      </c>
    </row>
    <row r="448" customFormat="false" ht="12.8" hidden="false" customHeight="false" outlineLevel="0" collapsed="false">
      <c r="G448" s="25" t="n">
        <v>44255</v>
      </c>
      <c r="H448" s="52" t="s">
        <v>14</v>
      </c>
      <c r="I448" s="5" t="n">
        <v>1.08</v>
      </c>
      <c r="J448" s="6" t="s">
        <v>40</v>
      </c>
    </row>
    <row r="449" customFormat="false" ht="12.8" hidden="false" customHeight="false" outlineLevel="0" collapsed="false">
      <c r="G449" s="25" t="n">
        <v>44255</v>
      </c>
      <c r="H449" s="52" t="s">
        <v>14</v>
      </c>
      <c r="I449" s="5" t="n">
        <v>-190</v>
      </c>
      <c r="J449" s="6" t="s">
        <v>480</v>
      </c>
    </row>
    <row r="450" customFormat="false" ht="12.8" hidden="false" customHeight="false" outlineLevel="0" collapsed="false">
      <c r="G450" s="25" t="n">
        <v>44255</v>
      </c>
      <c r="H450" s="48" t="s">
        <v>26</v>
      </c>
      <c r="I450" s="5" t="n">
        <v>190</v>
      </c>
      <c r="J450" s="6" t="s">
        <v>480</v>
      </c>
    </row>
    <row r="451" customFormat="false" ht="12.8" hidden="false" customHeight="false" outlineLevel="0" collapsed="false">
      <c r="G451" s="25" t="n">
        <v>44255</v>
      </c>
      <c r="H451" s="48" t="s">
        <v>26</v>
      </c>
      <c r="I451" s="5" t="n">
        <v>-138.71</v>
      </c>
      <c r="J451" s="6" t="s">
        <v>37</v>
      </c>
    </row>
    <row r="452" customFormat="false" ht="12.8" hidden="false" customHeight="false" outlineLevel="0" collapsed="false">
      <c r="G452" s="25" t="n">
        <v>44255</v>
      </c>
      <c r="H452" s="48" t="s">
        <v>26</v>
      </c>
      <c r="I452" s="5" t="n">
        <v>-50</v>
      </c>
      <c r="J452" s="6" t="s">
        <v>707</v>
      </c>
    </row>
    <row r="453" customFormat="false" ht="12.8" hidden="false" customHeight="false" outlineLevel="0" collapsed="false">
      <c r="G453" s="25" t="n">
        <v>44255</v>
      </c>
      <c r="H453" s="52" t="s">
        <v>14</v>
      </c>
      <c r="I453" s="5" t="n">
        <v>50</v>
      </c>
      <c r="J453" s="6" t="s">
        <v>707</v>
      </c>
    </row>
    <row r="454" customFormat="false" ht="12.8" hidden="false" customHeight="false" outlineLevel="0" collapsed="false">
      <c r="G454" s="25" t="n">
        <v>44255</v>
      </c>
      <c r="H454" s="48" t="s">
        <v>26</v>
      </c>
      <c r="I454" s="5" t="n">
        <v>-3</v>
      </c>
      <c r="J454" s="6" t="s">
        <v>881</v>
      </c>
    </row>
    <row r="455" customFormat="false" ht="12.8" hidden="false" customHeight="false" outlineLevel="0" collapsed="false">
      <c r="G455" s="25" t="n">
        <v>44255</v>
      </c>
      <c r="H455" s="26" t="s">
        <v>10</v>
      </c>
      <c r="I455" s="5" t="n">
        <v>0.14</v>
      </c>
      <c r="J455" s="6" t="s">
        <v>882</v>
      </c>
    </row>
    <row r="456" customFormat="false" ht="12.8" hidden="false" customHeight="false" outlineLevel="0" collapsed="false">
      <c r="G456" s="25" t="n">
        <v>44255</v>
      </c>
      <c r="H456" s="43" t="s">
        <v>23</v>
      </c>
      <c r="I456" s="5" t="n">
        <v>-4.03</v>
      </c>
      <c r="J456" s="6" t="s">
        <v>883</v>
      </c>
    </row>
    <row r="457" customFormat="false" ht="12.8" hidden="false" customHeight="false" outlineLevel="0" collapsed="false">
      <c r="G457" s="25" t="n">
        <v>44255</v>
      </c>
      <c r="H457" s="26" t="s">
        <v>10</v>
      </c>
      <c r="I457" s="5" t="n">
        <v>-40</v>
      </c>
      <c r="J457" s="6" t="s">
        <v>38</v>
      </c>
    </row>
    <row r="458" customFormat="false" ht="12.8" hidden="false" customHeight="false" outlineLevel="0" collapsed="false">
      <c r="G458" s="25" t="n">
        <v>44256</v>
      </c>
      <c r="H458" s="32" t="s">
        <v>15</v>
      </c>
      <c r="I458" s="5" t="n">
        <v>40</v>
      </c>
      <c r="J458" s="6" t="s">
        <v>38</v>
      </c>
    </row>
    <row r="459" customFormat="false" ht="12.8" hidden="false" customHeight="false" outlineLevel="0" collapsed="false">
      <c r="G459" s="25" t="n">
        <v>44256</v>
      </c>
      <c r="H459" s="32" t="s">
        <v>15</v>
      </c>
      <c r="I459" s="5" t="n">
        <v>-19.47</v>
      </c>
      <c r="J459" s="6" t="s">
        <v>884</v>
      </c>
    </row>
    <row r="460" customFormat="false" ht="12.8" hidden="false" customHeight="false" outlineLevel="0" collapsed="false">
      <c r="G460" s="25" t="n">
        <v>44256</v>
      </c>
      <c r="H460" s="466" t="s">
        <v>21</v>
      </c>
      <c r="I460" s="5" t="n">
        <v>19.47</v>
      </c>
      <c r="J460" s="6" t="s">
        <v>884</v>
      </c>
    </row>
    <row r="461" customFormat="false" ht="12.8" hidden="false" customHeight="false" outlineLevel="0" collapsed="false">
      <c r="G461" s="25" t="n">
        <v>44256</v>
      </c>
      <c r="H461" s="32" t="s">
        <v>15</v>
      </c>
      <c r="I461" s="5" t="n">
        <v>-20</v>
      </c>
      <c r="J461" s="6" t="s">
        <v>885</v>
      </c>
    </row>
    <row r="462" customFormat="false" ht="12.8" hidden="false" customHeight="false" outlineLevel="0" collapsed="false">
      <c r="G462" s="25" t="n">
        <v>44256</v>
      </c>
      <c r="H462" s="43" t="s">
        <v>23</v>
      </c>
      <c r="I462" s="5" t="n">
        <v>20</v>
      </c>
      <c r="J462" s="6" t="s">
        <v>885</v>
      </c>
    </row>
    <row r="463" customFormat="false" ht="12.8" hidden="false" customHeight="false" outlineLevel="0" collapsed="false">
      <c r="G463" s="25" t="n">
        <v>44256</v>
      </c>
      <c r="H463" s="52" t="s">
        <v>14</v>
      </c>
      <c r="I463" s="5" t="n">
        <v>-532</v>
      </c>
      <c r="J463" s="6" t="s">
        <v>480</v>
      </c>
    </row>
    <row r="464" customFormat="false" ht="12.8" hidden="false" customHeight="false" outlineLevel="0" collapsed="false">
      <c r="G464" s="25" t="n">
        <v>44256</v>
      </c>
      <c r="H464" s="48" t="s">
        <v>26</v>
      </c>
      <c r="I464" s="5" t="n">
        <v>532</v>
      </c>
      <c r="J464" s="6" t="s">
        <v>480</v>
      </c>
    </row>
    <row r="465" customFormat="false" ht="12.8" hidden="false" customHeight="false" outlineLevel="0" collapsed="false">
      <c r="G465" s="25" t="n">
        <v>44256</v>
      </c>
      <c r="H465" s="48" t="s">
        <v>26</v>
      </c>
      <c r="I465" s="5" t="n">
        <v>-376.56</v>
      </c>
      <c r="J465" s="6" t="s">
        <v>843</v>
      </c>
    </row>
    <row r="466" customFormat="false" ht="12.8" hidden="false" customHeight="false" outlineLevel="0" collapsed="false">
      <c r="G466" s="25" t="n">
        <v>44256</v>
      </c>
      <c r="H466" s="48" t="s">
        <v>26</v>
      </c>
      <c r="I466" s="5" t="n">
        <v>-141.44</v>
      </c>
      <c r="J466" s="6" t="s">
        <v>37</v>
      </c>
    </row>
    <row r="467" customFormat="false" ht="12.8" hidden="false" customHeight="false" outlineLevel="0" collapsed="false">
      <c r="G467" s="25" t="n">
        <v>44256</v>
      </c>
      <c r="H467" s="466" t="s">
        <v>21</v>
      </c>
      <c r="I467" s="5" t="n">
        <v>-15</v>
      </c>
      <c r="J467" s="6" t="s">
        <v>883</v>
      </c>
    </row>
    <row r="468" customFormat="false" ht="12.8" hidden="false" customHeight="false" outlineLevel="0" collapsed="false">
      <c r="G468" s="25" t="n">
        <v>44256</v>
      </c>
      <c r="H468" s="43" t="s">
        <v>23</v>
      </c>
      <c r="I468" s="5" t="n">
        <v>-5.97</v>
      </c>
      <c r="J468" s="6" t="s">
        <v>130</v>
      </c>
    </row>
    <row r="469" customFormat="false" ht="12.8" hidden="false" customHeight="false" outlineLevel="0" collapsed="false">
      <c r="G469" s="25" t="n">
        <v>44257</v>
      </c>
      <c r="H469" s="26" t="s">
        <v>10</v>
      </c>
      <c r="I469" s="5" t="n">
        <v>-79.14</v>
      </c>
      <c r="J469" s="6" t="s">
        <v>38</v>
      </c>
    </row>
    <row r="470" customFormat="false" ht="12.8" hidden="false" customHeight="false" outlineLevel="0" collapsed="false">
      <c r="G470" s="25" t="n">
        <v>44257</v>
      </c>
      <c r="H470" s="32" t="s">
        <v>15</v>
      </c>
      <c r="I470" s="5" t="n">
        <v>79.14</v>
      </c>
      <c r="J470" s="6" t="s">
        <v>38</v>
      </c>
    </row>
    <row r="471" customFormat="false" ht="12.8" hidden="false" customHeight="false" outlineLevel="0" collapsed="false">
      <c r="G471" s="25" t="n">
        <v>44257</v>
      </c>
      <c r="H471" s="52" t="s">
        <v>14</v>
      </c>
      <c r="I471" s="5" t="n">
        <v>-130</v>
      </c>
      <c r="J471" s="6" t="s">
        <v>480</v>
      </c>
    </row>
    <row r="472" customFormat="false" ht="12.8" hidden="false" customHeight="false" outlineLevel="0" collapsed="false">
      <c r="G472" s="25" t="n">
        <v>44257</v>
      </c>
      <c r="H472" s="48" t="s">
        <v>26</v>
      </c>
      <c r="I472" s="5" t="n">
        <v>130</v>
      </c>
      <c r="J472" s="6" t="s">
        <v>480</v>
      </c>
    </row>
    <row r="473" customFormat="false" ht="12.8" hidden="false" customHeight="false" outlineLevel="0" collapsed="false">
      <c r="G473" s="25" t="n">
        <v>44257</v>
      </c>
      <c r="H473" s="32" t="s">
        <v>15</v>
      </c>
      <c r="I473" s="5" t="n">
        <v>-80</v>
      </c>
      <c r="J473" s="6" t="s">
        <v>868</v>
      </c>
    </row>
    <row r="474" customFormat="false" ht="12.8" hidden="false" customHeight="false" outlineLevel="0" collapsed="false">
      <c r="G474" s="25" t="n">
        <v>44257</v>
      </c>
      <c r="H474" s="48" t="s">
        <v>26</v>
      </c>
      <c r="I474" s="5" t="n">
        <v>-118.04</v>
      </c>
      <c r="J474" s="6" t="s">
        <v>37</v>
      </c>
    </row>
    <row r="475" customFormat="false" ht="12.8" hidden="false" customHeight="false" outlineLevel="0" collapsed="false">
      <c r="G475" s="25" t="n">
        <v>44258</v>
      </c>
      <c r="H475" s="48" t="s">
        <v>26</v>
      </c>
      <c r="I475" s="5" t="n">
        <v>4052.57</v>
      </c>
      <c r="J475" s="462" t="s">
        <v>886</v>
      </c>
    </row>
    <row r="476" customFormat="false" ht="12.8" hidden="false" customHeight="false" outlineLevel="0" collapsed="false">
      <c r="G476" s="25" t="n">
        <v>44258</v>
      </c>
      <c r="H476" s="48" t="s">
        <v>26</v>
      </c>
      <c r="I476" s="5" t="n">
        <v>-2600</v>
      </c>
      <c r="J476" s="462" t="s">
        <v>38</v>
      </c>
    </row>
    <row r="477" customFormat="false" ht="12.8" hidden="false" customHeight="false" outlineLevel="0" collapsed="false">
      <c r="G477" s="25" t="n">
        <v>44258</v>
      </c>
      <c r="H477" s="48" t="s">
        <v>26</v>
      </c>
      <c r="I477" s="5" t="n">
        <v>-3</v>
      </c>
      <c r="J477" s="6" t="s">
        <v>887</v>
      </c>
    </row>
    <row r="478" customFormat="false" ht="12.8" hidden="false" customHeight="false" outlineLevel="0" collapsed="false">
      <c r="G478" s="25" t="n">
        <v>44258</v>
      </c>
      <c r="H478" s="32" t="s">
        <v>15</v>
      </c>
      <c r="I478" s="5" t="n">
        <v>2600</v>
      </c>
      <c r="J478" s="462" t="s">
        <v>38</v>
      </c>
    </row>
    <row r="479" customFormat="false" ht="12.8" hidden="false" customHeight="false" outlineLevel="0" collapsed="false">
      <c r="G479" s="25" t="n">
        <v>44258</v>
      </c>
      <c r="H479" s="48" t="s">
        <v>26</v>
      </c>
      <c r="I479" s="5" t="n">
        <v>-1360</v>
      </c>
      <c r="J479" s="462" t="s">
        <v>462</v>
      </c>
    </row>
    <row r="480" customFormat="false" ht="12.8" hidden="false" customHeight="false" outlineLevel="0" collapsed="false">
      <c r="G480" s="25" t="n">
        <v>44258</v>
      </c>
      <c r="H480" s="52" t="s">
        <v>14</v>
      </c>
      <c r="I480" s="5" t="n">
        <v>1360</v>
      </c>
      <c r="J480" s="6" t="s">
        <v>462</v>
      </c>
    </row>
    <row r="481" customFormat="false" ht="12.8" hidden="false" customHeight="false" outlineLevel="0" collapsed="false">
      <c r="G481" s="25" t="n">
        <v>44256</v>
      </c>
      <c r="H481" s="38" t="s">
        <v>832</v>
      </c>
      <c r="I481" s="5" t="n">
        <v>-15</v>
      </c>
      <c r="J481" s="6" t="s">
        <v>883</v>
      </c>
    </row>
    <row r="482" customFormat="false" ht="12.8" hidden="false" customHeight="false" outlineLevel="0" collapsed="false">
      <c r="G482" s="25" t="n">
        <v>44258</v>
      </c>
      <c r="H482" s="48" t="s">
        <v>26</v>
      </c>
      <c r="I482" s="5" t="n">
        <v>-130</v>
      </c>
      <c r="J482" s="462" t="s">
        <v>462</v>
      </c>
    </row>
    <row r="483" customFormat="false" ht="12.8" hidden="false" customHeight="false" outlineLevel="0" collapsed="false">
      <c r="G483" s="25" t="n">
        <v>44258</v>
      </c>
      <c r="H483" s="52" t="s">
        <v>14</v>
      </c>
      <c r="I483" s="5" t="n">
        <v>130</v>
      </c>
      <c r="J483" s="6" t="s">
        <v>462</v>
      </c>
    </row>
    <row r="484" customFormat="false" ht="12.8" hidden="false" customHeight="false" outlineLevel="0" collapsed="false">
      <c r="G484" s="25" t="n">
        <v>44258</v>
      </c>
      <c r="H484" s="32" t="s">
        <v>15</v>
      </c>
      <c r="I484" s="5" t="n">
        <v>-600</v>
      </c>
      <c r="J484" s="6" t="s">
        <v>44</v>
      </c>
    </row>
    <row r="485" customFormat="false" ht="12.8" hidden="false" customHeight="false" outlineLevel="0" collapsed="false">
      <c r="G485" s="25" t="n">
        <v>44258</v>
      </c>
      <c r="H485" s="32" t="s">
        <v>15</v>
      </c>
      <c r="I485" s="5" t="n">
        <v>-1850</v>
      </c>
      <c r="J485" s="6" t="s">
        <v>56</v>
      </c>
    </row>
    <row r="486" customFormat="false" ht="12.8" hidden="false" customHeight="false" outlineLevel="0" collapsed="false">
      <c r="G486" s="25" t="n">
        <v>44258</v>
      </c>
      <c r="H486" s="26" t="s">
        <v>10</v>
      </c>
      <c r="I486" s="5" t="n">
        <v>1850</v>
      </c>
      <c r="J486" s="6" t="s">
        <v>56</v>
      </c>
    </row>
    <row r="487" customFormat="false" ht="12.8" hidden="false" customHeight="false" outlineLevel="0" collapsed="false">
      <c r="G487" s="25" t="n">
        <v>44258</v>
      </c>
      <c r="H487" s="32" t="s">
        <v>15</v>
      </c>
      <c r="I487" s="5" t="n">
        <v>-133.33</v>
      </c>
      <c r="J487" s="6" t="s">
        <v>37</v>
      </c>
    </row>
    <row r="488" customFormat="false" ht="12.8" hidden="false" customHeight="false" outlineLevel="0" collapsed="false">
      <c r="G488" s="25" t="n">
        <v>44258</v>
      </c>
      <c r="H488" s="48" t="s">
        <v>26</v>
      </c>
      <c r="I488" s="5" t="n">
        <v>-10</v>
      </c>
      <c r="J488" s="6" t="s">
        <v>846</v>
      </c>
    </row>
    <row r="489" customFormat="false" ht="12.8" hidden="false" customHeight="false" outlineLevel="0" collapsed="false">
      <c r="G489" s="3" t="n">
        <v>44259</v>
      </c>
      <c r="H489" s="26" t="s">
        <v>10</v>
      </c>
      <c r="I489" s="5" t="n">
        <v>-124</v>
      </c>
      <c r="J489" s="6" t="s">
        <v>38</v>
      </c>
    </row>
    <row r="490" customFormat="false" ht="12.8" hidden="false" customHeight="false" outlineLevel="0" collapsed="false">
      <c r="G490" s="3" t="n">
        <v>44259</v>
      </c>
      <c r="H490" s="32" t="s">
        <v>15</v>
      </c>
      <c r="I490" s="5" t="n">
        <v>124</v>
      </c>
      <c r="J490" s="6" t="s">
        <v>38</v>
      </c>
    </row>
    <row r="491" customFormat="false" ht="12.8" hidden="false" customHeight="false" outlineLevel="0" collapsed="false">
      <c r="G491" s="3" t="n">
        <v>44259</v>
      </c>
      <c r="H491" s="32" t="s">
        <v>15</v>
      </c>
      <c r="I491" s="5" t="n">
        <v>-138.12</v>
      </c>
      <c r="J491" s="6" t="s">
        <v>37</v>
      </c>
    </row>
    <row r="492" customFormat="false" ht="12.8" hidden="false" customHeight="false" outlineLevel="0" collapsed="false">
      <c r="G492" s="3" t="n">
        <v>44260</v>
      </c>
      <c r="H492" s="26" t="s">
        <v>10</v>
      </c>
      <c r="I492" s="5" t="n">
        <v>-140</v>
      </c>
      <c r="J492" s="6" t="s">
        <v>38</v>
      </c>
    </row>
    <row r="493" customFormat="false" ht="12.8" hidden="false" customHeight="false" outlineLevel="0" collapsed="false">
      <c r="G493" s="3" t="n">
        <v>44260</v>
      </c>
      <c r="H493" s="32" t="s">
        <v>15</v>
      </c>
      <c r="I493" s="5" t="n">
        <v>140</v>
      </c>
      <c r="J493" s="6" t="s">
        <v>38</v>
      </c>
    </row>
    <row r="494" customFormat="false" ht="12.8" hidden="false" customHeight="false" outlineLevel="0" collapsed="false">
      <c r="G494" s="3" t="n">
        <v>44260</v>
      </c>
      <c r="H494" s="32" t="s">
        <v>15</v>
      </c>
      <c r="I494" s="5" t="n">
        <v>-124.99</v>
      </c>
      <c r="J494" s="6" t="s">
        <v>37</v>
      </c>
    </row>
    <row r="495" customFormat="false" ht="12.8" hidden="false" customHeight="false" outlineLevel="0" collapsed="false">
      <c r="G495" s="3" t="n">
        <v>44261</v>
      </c>
      <c r="H495" s="26" t="s">
        <v>10</v>
      </c>
      <c r="I495" s="5" t="n">
        <v>-123</v>
      </c>
      <c r="J495" s="6" t="s">
        <v>38</v>
      </c>
    </row>
    <row r="496" customFormat="false" ht="12.8" hidden="false" customHeight="false" outlineLevel="0" collapsed="false">
      <c r="G496" s="3" t="n">
        <v>44261</v>
      </c>
      <c r="H496" s="32" t="s">
        <v>15</v>
      </c>
      <c r="I496" s="5" t="n">
        <v>123</v>
      </c>
      <c r="J496" s="6" t="s">
        <v>38</v>
      </c>
    </row>
    <row r="497" customFormat="false" ht="12.8" hidden="false" customHeight="false" outlineLevel="0" collapsed="false">
      <c r="G497" s="3" t="n">
        <v>44261</v>
      </c>
      <c r="H497" s="32" t="s">
        <v>15</v>
      </c>
      <c r="I497" s="5" t="n">
        <v>-128.51</v>
      </c>
      <c r="J497" s="6" t="s">
        <v>37</v>
      </c>
    </row>
    <row r="498" customFormat="false" ht="12.8" hidden="false" customHeight="false" outlineLevel="0" collapsed="false">
      <c r="G498" s="3" t="n">
        <v>44262</v>
      </c>
      <c r="H498" s="26" t="s">
        <v>10</v>
      </c>
      <c r="I498" s="5" t="n">
        <v>-128</v>
      </c>
      <c r="J498" s="6" t="s">
        <v>38</v>
      </c>
    </row>
    <row r="499" customFormat="false" ht="12.8" hidden="false" customHeight="false" outlineLevel="0" collapsed="false">
      <c r="G499" s="3" t="n">
        <v>44262</v>
      </c>
      <c r="H499" s="32" t="s">
        <v>15</v>
      </c>
      <c r="I499" s="5" t="n">
        <v>128</v>
      </c>
      <c r="J499" s="6" t="s">
        <v>38</v>
      </c>
    </row>
    <row r="500" customFormat="false" ht="12.8" hidden="false" customHeight="false" outlineLevel="0" collapsed="false">
      <c r="G500" s="3" t="n">
        <v>44262</v>
      </c>
      <c r="H500" s="32" t="s">
        <v>15</v>
      </c>
      <c r="I500" s="5" t="n">
        <v>-136.96</v>
      </c>
      <c r="J500" s="6" t="s">
        <v>37</v>
      </c>
    </row>
    <row r="501" customFormat="false" ht="12.8" hidden="false" customHeight="false" outlineLevel="0" collapsed="false">
      <c r="G501" s="3" t="n">
        <v>44263</v>
      </c>
      <c r="H501" s="26" t="s">
        <v>10</v>
      </c>
      <c r="I501" s="5" t="n">
        <v>-137</v>
      </c>
      <c r="J501" s="6" t="s">
        <v>38</v>
      </c>
    </row>
    <row r="502" customFormat="false" ht="12.8" hidden="false" customHeight="false" outlineLevel="0" collapsed="false">
      <c r="G502" s="3" t="n">
        <v>44263</v>
      </c>
      <c r="H502" s="32" t="s">
        <v>15</v>
      </c>
      <c r="I502" s="5" t="n">
        <v>137</v>
      </c>
      <c r="J502" s="6" t="s">
        <v>38</v>
      </c>
    </row>
    <row r="503" customFormat="false" ht="12.8" hidden="false" customHeight="false" outlineLevel="0" collapsed="false">
      <c r="G503" s="3" t="n">
        <v>44263</v>
      </c>
      <c r="H503" s="26" t="s">
        <v>10</v>
      </c>
      <c r="I503" s="5" t="n">
        <v>-100</v>
      </c>
      <c r="J503" s="6" t="s">
        <v>38</v>
      </c>
    </row>
    <row r="504" customFormat="false" ht="12.8" hidden="false" customHeight="false" outlineLevel="0" collapsed="false">
      <c r="G504" s="3" t="n">
        <v>44263</v>
      </c>
      <c r="H504" s="32" t="s">
        <v>15</v>
      </c>
      <c r="I504" s="5" t="n">
        <v>100</v>
      </c>
      <c r="J504" s="6" t="s">
        <v>38</v>
      </c>
    </row>
    <row r="505" customFormat="false" ht="12.8" hidden="false" customHeight="false" outlineLevel="0" collapsed="false">
      <c r="G505" s="3" t="n">
        <v>44263</v>
      </c>
      <c r="H505" s="32" t="s">
        <v>15</v>
      </c>
      <c r="I505" s="5" t="n">
        <v>-119.62</v>
      </c>
      <c r="J505" s="6" t="s">
        <v>37</v>
      </c>
    </row>
    <row r="506" customFormat="false" ht="12.8" hidden="false" customHeight="false" outlineLevel="0" collapsed="false">
      <c r="G506" s="3" t="n">
        <v>44263</v>
      </c>
      <c r="H506" s="32" t="s">
        <v>15</v>
      </c>
      <c r="I506" s="5" t="n">
        <v>-100</v>
      </c>
      <c r="J506" s="6" t="s">
        <v>868</v>
      </c>
    </row>
    <row r="507" customFormat="false" ht="12.8" hidden="false" customHeight="false" outlineLevel="0" collapsed="false">
      <c r="G507" s="3" t="n">
        <v>44264</v>
      </c>
      <c r="H507" s="26" t="s">
        <v>10</v>
      </c>
      <c r="I507" s="5" t="n">
        <v>-120</v>
      </c>
      <c r="J507" s="6" t="s">
        <v>38</v>
      </c>
    </row>
    <row r="508" customFormat="false" ht="12.8" hidden="false" customHeight="false" outlineLevel="0" collapsed="false">
      <c r="G508" s="3" t="n">
        <v>44264</v>
      </c>
      <c r="H508" s="32" t="s">
        <v>15</v>
      </c>
      <c r="I508" s="5" t="n">
        <v>120</v>
      </c>
      <c r="J508" s="6" t="s">
        <v>38</v>
      </c>
    </row>
    <row r="509" customFormat="false" ht="12.8" hidden="false" customHeight="false" outlineLevel="0" collapsed="false">
      <c r="G509" s="3" t="n">
        <v>44264</v>
      </c>
      <c r="H509" s="32" t="s">
        <v>15</v>
      </c>
      <c r="I509" s="5" t="n">
        <v>-120.03</v>
      </c>
      <c r="J509" s="6" t="s">
        <v>37</v>
      </c>
    </row>
    <row r="510" customFormat="false" ht="12.8" hidden="false" customHeight="false" outlineLevel="0" collapsed="false">
      <c r="G510" s="3" t="n">
        <v>44265</v>
      </c>
      <c r="H510" s="52" t="s">
        <v>14</v>
      </c>
      <c r="I510" s="5" t="n">
        <v>-148</v>
      </c>
      <c r="J510" s="6" t="s">
        <v>685</v>
      </c>
    </row>
    <row r="511" customFormat="false" ht="12.8" hidden="false" customHeight="false" outlineLevel="0" collapsed="false">
      <c r="G511" s="3" t="n">
        <v>44265</v>
      </c>
      <c r="H511" s="48" t="s">
        <v>26</v>
      </c>
      <c r="I511" s="5" t="n">
        <v>148</v>
      </c>
      <c r="J511" s="6" t="s">
        <v>38</v>
      </c>
    </row>
    <row r="512" customFormat="false" ht="12.8" hidden="false" customHeight="false" outlineLevel="0" collapsed="false">
      <c r="G512" s="3" t="n">
        <v>44265</v>
      </c>
      <c r="H512" s="48" t="s">
        <v>26</v>
      </c>
      <c r="I512" s="5" t="n">
        <v>-141.44</v>
      </c>
      <c r="J512" s="6" t="s">
        <v>37</v>
      </c>
    </row>
    <row r="513" customFormat="false" ht="12.8" hidden="false" customHeight="false" outlineLevel="0" collapsed="false">
      <c r="G513" s="3" t="n">
        <v>44266</v>
      </c>
      <c r="H513" s="52" t="s">
        <v>14</v>
      </c>
      <c r="I513" s="5" t="n">
        <v>-121</v>
      </c>
      <c r="J513" s="6" t="s">
        <v>685</v>
      </c>
    </row>
    <row r="514" customFormat="false" ht="12.8" hidden="false" customHeight="false" outlineLevel="0" collapsed="false">
      <c r="G514" s="3" t="n">
        <v>44266</v>
      </c>
      <c r="H514" s="48" t="s">
        <v>26</v>
      </c>
      <c r="I514" s="5" t="n">
        <v>121</v>
      </c>
      <c r="J514" s="6" t="s">
        <v>38</v>
      </c>
    </row>
    <row r="515" customFormat="false" ht="12.8" hidden="false" customHeight="false" outlineLevel="0" collapsed="false">
      <c r="G515" s="3" t="n">
        <v>44266</v>
      </c>
      <c r="H515" s="48" t="s">
        <v>26</v>
      </c>
      <c r="I515" s="5" t="n">
        <v>-127.42</v>
      </c>
      <c r="J515" s="6" t="s">
        <v>37</v>
      </c>
    </row>
    <row r="516" customFormat="false" ht="12.8" hidden="false" customHeight="false" outlineLevel="0" collapsed="false">
      <c r="G516" s="3" t="n">
        <v>44267</v>
      </c>
      <c r="H516" s="26" t="s">
        <v>10</v>
      </c>
      <c r="I516" s="5" t="n">
        <v>-80</v>
      </c>
      <c r="J516" s="6" t="s">
        <v>38</v>
      </c>
    </row>
    <row r="517" customFormat="false" ht="12.8" hidden="false" customHeight="false" outlineLevel="0" collapsed="false">
      <c r="G517" s="3" t="n">
        <v>44267</v>
      </c>
      <c r="H517" s="32" t="s">
        <v>15</v>
      </c>
      <c r="I517" s="5" t="n">
        <v>80</v>
      </c>
      <c r="J517" s="6" t="s">
        <v>38</v>
      </c>
    </row>
    <row r="518" customFormat="false" ht="12.8" hidden="false" customHeight="false" outlineLevel="0" collapsed="false">
      <c r="G518" s="3" t="n">
        <v>44267</v>
      </c>
      <c r="H518" s="32" t="s">
        <v>15</v>
      </c>
      <c r="I518" s="5" t="n">
        <v>-100</v>
      </c>
      <c r="J518" s="6" t="s">
        <v>868</v>
      </c>
    </row>
    <row r="519" customFormat="false" ht="12.8" hidden="false" customHeight="false" outlineLevel="0" collapsed="false">
      <c r="G519" s="3" t="n">
        <v>44267</v>
      </c>
      <c r="H519" s="52" t="s">
        <v>14</v>
      </c>
      <c r="I519" s="5" t="n">
        <v>-138</v>
      </c>
      <c r="J519" s="6" t="s">
        <v>888</v>
      </c>
    </row>
    <row r="520" customFormat="false" ht="12.8" hidden="false" customHeight="false" outlineLevel="0" collapsed="false">
      <c r="G520" s="3" t="n">
        <v>44267</v>
      </c>
      <c r="H520" s="48" t="s">
        <v>26</v>
      </c>
      <c r="I520" s="5" t="n">
        <v>138</v>
      </c>
      <c r="J520" s="6" t="s">
        <v>38</v>
      </c>
    </row>
    <row r="521" customFormat="false" ht="12.8" hidden="false" customHeight="false" outlineLevel="0" collapsed="false">
      <c r="G521" s="3" t="n">
        <v>44267</v>
      </c>
      <c r="H521" s="48" t="s">
        <v>26</v>
      </c>
      <c r="I521" s="5" t="n">
        <v>-126.28</v>
      </c>
      <c r="J521" s="6" t="s">
        <v>37</v>
      </c>
    </row>
    <row r="522" customFormat="false" ht="12.8" hidden="false" customHeight="false" outlineLevel="0" collapsed="false">
      <c r="G522" s="3" t="n">
        <v>44268</v>
      </c>
      <c r="H522" s="52" t="s">
        <v>14</v>
      </c>
      <c r="I522" s="5" t="n">
        <v>-126</v>
      </c>
      <c r="J522" s="6" t="s">
        <v>888</v>
      </c>
    </row>
    <row r="523" customFormat="false" ht="12.8" hidden="false" customHeight="false" outlineLevel="0" collapsed="false">
      <c r="G523" s="3" t="n">
        <v>44268</v>
      </c>
      <c r="H523" s="48" t="s">
        <v>26</v>
      </c>
      <c r="I523" s="5" t="n">
        <v>126</v>
      </c>
      <c r="J523" s="6" t="s">
        <v>38</v>
      </c>
    </row>
    <row r="524" customFormat="false" ht="12.8" hidden="false" customHeight="false" outlineLevel="0" collapsed="false">
      <c r="G524" s="3" t="n">
        <v>44268</v>
      </c>
      <c r="H524" s="48" t="s">
        <v>26</v>
      </c>
      <c r="I524" s="5" t="n">
        <v>-135.27</v>
      </c>
      <c r="J524" s="6" t="s">
        <v>37</v>
      </c>
    </row>
    <row r="525" customFormat="false" ht="12.8" hidden="false" customHeight="false" outlineLevel="0" collapsed="false">
      <c r="G525" s="3" t="n">
        <v>44269</v>
      </c>
      <c r="H525" s="26" t="s">
        <v>10</v>
      </c>
      <c r="I525" s="5" t="n">
        <v>-140</v>
      </c>
      <c r="J525" s="6" t="s">
        <v>38</v>
      </c>
    </row>
    <row r="526" customFormat="false" ht="12.8" hidden="false" customHeight="false" outlineLevel="0" collapsed="false">
      <c r="G526" s="3" t="n">
        <v>44269</v>
      </c>
      <c r="H526" s="32" t="s">
        <v>15</v>
      </c>
      <c r="I526" s="5" t="n">
        <v>140</v>
      </c>
      <c r="J526" s="6" t="s">
        <v>38</v>
      </c>
    </row>
    <row r="527" customFormat="false" ht="12.8" hidden="false" customHeight="false" outlineLevel="0" collapsed="false">
      <c r="G527" s="3" t="n">
        <v>44269</v>
      </c>
      <c r="H527" s="32" t="s">
        <v>15</v>
      </c>
      <c r="I527" s="5" t="n">
        <v>-126.51</v>
      </c>
      <c r="J527" s="6" t="s">
        <v>37</v>
      </c>
    </row>
    <row r="528" customFormat="false" ht="12.8" hidden="false" customHeight="false" outlineLevel="0" collapsed="false">
      <c r="G528" s="3" t="n">
        <v>44270</v>
      </c>
      <c r="H528" s="43" t="s">
        <v>23</v>
      </c>
      <c r="I528" s="5" t="n">
        <v>1386</v>
      </c>
      <c r="J528" s="6" t="s">
        <v>889</v>
      </c>
    </row>
    <row r="529" customFormat="false" ht="12.8" hidden="false" customHeight="false" outlineLevel="0" collapsed="false">
      <c r="G529" s="3" t="n">
        <v>44270</v>
      </c>
      <c r="H529" s="43" t="s">
        <v>23</v>
      </c>
      <c r="I529" s="5" t="n">
        <v>-5</v>
      </c>
      <c r="J529" s="6" t="s">
        <v>890</v>
      </c>
    </row>
    <row r="530" customFormat="false" ht="12.8" hidden="false" customHeight="false" outlineLevel="0" collapsed="false">
      <c r="G530" s="3" t="n">
        <v>44270</v>
      </c>
      <c r="H530" s="43" t="s">
        <v>23</v>
      </c>
      <c r="I530" s="5" t="n">
        <v>500</v>
      </c>
      <c r="J530" s="6" t="s">
        <v>889</v>
      </c>
    </row>
    <row r="531" customFormat="false" ht="12.8" hidden="false" customHeight="false" outlineLevel="0" collapsed="false">
      <c r="G531" s="3" t="n">
        <v>44270</v>
      </c>
      <c r="H531" s="43" t="s">
        <v>23</v>
      </c>
      <c r="I531" s="5" t="n">
        <v>-5</v>
      </c>
      <c r="J531" s="6" t="s">
        <v>890</v>
      </c>
    </row>
    <row r="532" customFormat="false" ht="12.8" hidden="false" customHeight="false" outlineLevel="0" collapsed="false">
      <c r="G532" s="3" t="n">
        <v>44270</v>
      </c>
      <c r="H532" s="43" t="s">
        <v>23</v>
      </c>
      <c r="I532" s="5" t="n">
        <v>-137.86</v>
      </c>
      <c r="J532" s="6" t="s">
        <v>37</v>
      </c>
    </row>
    <row r="533" customFormat="false" ht="12.8" hidden="false" customHeight="false" outlineLevel="0" collapsed="false">
      <c r="G533" s="3" t="n">
        <v>44271</v>
      </c>
      <c r="H533" s="32" t="s">
        <v>15</v>
      </c>
      <c r="I533" s="5" t="n">
        <v>11354</v>
      </c>
      <c r="J533" s="6" t="s">
        <v>891</v>
      </c>
    </row>
    <row r="534" customFormat="false" ht="12.8" hidden="false" customHeight="false" outlineLevel="0" collapsed="false">
      <c r="G534" s="3" t="n">
        <v>44271</v>
      </c>
      <c r="H534" s="32" t="s">
        <v>15</v>
      </c>
      <c r="I534" s="5" t="n">
        <v>-11000</v>
      </c>
      <c r="J534" s="6" t="s">
        <v>38</v>
      </c>
    </row>
    <row r="535" customFormat="false" ht="12.8" hidden="false" customHeight="false" outlineLevel="0" collapsed="false">
      <c r="G535" s="3" t="n">
        <v>44271</v>
      </c>
      <c r="H535" s="48" t="s">
        <v>26</v>
      </c>
      <c r="I535" s="5" t="n">
        <v>11000</v>
      </c>
      <c r="J535" s="6" t="s">
        <v>38</v>
      </c>
    </row>
    <row r="536" customFormat="false" ht="12.8" hidden="false" customHeight="false" outlineLevel="0" collapsed="false">
      <c r="G536" s="3" t="n">
        <v>44271</v>
      </c>
      <c r="H536" s="48" t="s">
        <v>26</v>
      </c>
      <c r="I536" s="5" t="n">
        <v>-11000</v>
      </c>
      <c r="J536" s="6" t="s">
        <v>56</v>
      </c>
    </row>
    <row r="537" customFormat="false" ht="12.8" hidden="false" customHeight="false" outlineLevel="0" collapsed="false">
      <c r="G537" s="3" t="n">
        <v>44271</v>
      </c>
      <c r="H537" s="52" t="s">
        <v>14</v>
      </c>
      <c r="I537" s="5" t="n">
        <v>11000</v>
      </c>
      <c r="J537" s="6" t="s">
        <v>56</v>
      </c>
    </row>
    <row r="538" customFormat="false" ht="12.8" hidden="false" customHeight="false" outlineLevel="0" collapsed="false">
      <c r="G538" s="3" t="n">
        <v>44271</v>
      </c>
      <c r="H538" s="32" t="s">
        <v>15</v>
      </c>
      <c r="I538" s="5" t="n">
        <v>-368</v>
      </c>
      <c r="J538" s="6" t="s">
        <v>56</v>
      </c>
    </row>
    <row r="539" customFormat="false" ht="12.8" hidden="false" customHeight="false" outlineLevel="0" collapsed="false">
      <c r="G539" s="3" t="n">
        <v>44271</v>
      </c>
      <c r="H539" s="26" t="s">
        <v>10</v>
      </c>
      <c r="I539" s="5" t="n">
        <v>368</v>
      </c>
      <c r="J539" s="6" t="s">
        <v>56</v>
      </c>
    </row>
    <row r="540" customFormat="false" ht="12.8" hidden="false" customHeight="false" outlineLevel="0" collapsed="false">
      <c r="G540" s="3" t="n">
        <v>44271</v>
      </c>
      <c r="H540" s="43" t="s">
        <v>23</v>
      </c>
      <c r="I540" s="5" t="n">
        <v>-144.9</v>
      </c>
      <c r="J540" s="6" t="s">
        <v>37</v>
      </c>
    </row>
    <row r="541" customFormat="false" ht="12.8" hidden="false" customHeight="false" outlineLevel="0" collapsed="false">
      <c r="G541" s="3" t="n">
        <v>44272</v>
      </c>
      <c r="H541" s="43" t="s">
        <v>23</v>
      </c>
      <c r="I541" s="5" t="n">
        <v>-29.59</v>
      </c>
      <c r="J541" s="6" t="s">
        <v>892</v>
      </c>
    </row>
    <row r="542" customFormat="false" ht="12.8" hidden="false" customHeight="false" outlineLevel="0" collapsed="false">
      <c r="G542" s="3" t="n">
        <v>44272</v>
      </c>
      <c r="H542" s="43" t="s">
        <v>23</v>
      </c>
      <c r="I542" s="5" t="n">
        <v>-47.5</v>
      </c>
      <c r="J542" s="6" t="s">
        <v>893</v>
      </c>
    </row>
    <row r="543" customFormat="false" ht="12.8" hidden="false" customHeight="false" outlineLevel="0" collapsed="false">
      <c r="G543" s="3" t="n">
        <v>44272</v>
      </c>
      <c r="H543" s="43" t="s">
        <v>23</v>
      </c>
      <c r="I543" s="5" t="n">
        <v>-137.59</v>
      </c>
      <c r="J543" s="6" t="s">
        <v>37</v>
      </c>
    </row>
    <row r="544" customFormat="false" ht="12.8" hidden="false" customHeight="false" outlineLevel="0" collapsed="false">
      <c r="G544" s="3" t="n">
        <v>44273</v>
      </c>
      <c r="H544" s="43" t="s">
        <v>23</v>
      </c>
      <c r="I544" s="5" t="n">
        <v>-153.61</v>
      </c>
      <c r="J544" s="6" t="s">
        <v>37</v>
      </c>
    </row>
    <row r="545" customFormat="false" ht="12.8" hidden="false" customHeight="false" outlineLevel="0" collapsed="false">
      <c r="G545" s="3" t="n">
        <v>44273</v>
      </c>
      <c r="H545" s="43" t="s">
        <v>23</v>
      </c>
      <c r="I545" s="5" t="n">
        <v>4.28</v>
      </c>
      <c r="J545" s="6" t="s">
        <v>894</v>
      </c>
    </row>
    <row r="546" customFormat="false" ht="12.8" hidden="false" customHeight="false" outlineLevel="0" collapsed="false">
      <c r="G546" s="3" t="n">
        <v>44274</v>
      </c>
      <c r="H546" s="26" t="s">
        <v>10</v>
      </c>
      <c r="I546" s="5" t="n">
        <v>-490</v>
      </c>
      <c r="J546" s="6" t="s">
        <v>38</v>
      </c>
    </row>
    <row r="547" customFormat="false" ht="12.8" hidden="false" customHeight="false" outlineLevel="0" collapsed="false">
      <c r="G547" s="3" t="n">
        <v>44274</v>
      </c>
      <c r="H547" s="32" t="s">
        <v>15</v>
      </c>
      <c r="I547" s="5" t="n">
        <v>490</v>
      </c>
      <c r="J547" s="6" t="s">
        <v>38</v>
      </c>
    </row>
    <row r="548" customFormat="false" ht="12.8" hidden="false" customHeight="false" outlineLevel="0" collapsed="false">
      <c r="G548" s="3" t="n">
        <v>44274</v>
      </c>
      <c r="H548" s="32" t="s">
        <v>15</v>
      </c>
      <c r="I548" s="5" t="n">
        <v>-200</v>
      </c>
      <c r="J548" s="462" t="s">
        <v>868</v>
      </c>
    </row>
    <row r="549" customFormat="false" ht="12.8" hidden="false" customHeight="false" outlineLevel="0" collapsed="false">
      <c r="G549" s="3" t="n">
        <v>44274</v>
      </c>
      <c r="H549" s="32" t="s">
        <v>15</v>
      </c>
      <c r="I549" s="5" t="n">
        <v>-260</v>
      </c>
      <c r="J549" s="462" t="s">
        <v>895</v>
      </c>
    </row>
    <row r="550" customFormat="false" ht="12.8" hidden="false" customHeight="false" outlineLevel="0" collapsed="false">
      <c r="G550" s="3" t="n">
        <v>44274</v>
      </c>
      <c r="H550" s="32" t="s">
        <v>15</v>
      </c>
      <c r="I550" s="5" t="n">
        <v>-30</v>
      </c>
      <c r="J550" s="6" t="s">
        <v>462</v>
      </c>
    </row>
    <row r="551" customFormat="false" ht="12.8" hidden="false" customHeight="false" outlineLevel="0" collapsed="false">
      <c r="G551" s="3" t="n">
        <v>44274</v>
      </c>
      <c r="H551" s="26" t="s">
        <v>10</v>
      </c>
      <c r="I551" s="5" t="n">
        <v>30</v>
      </c>
      <c r="J551" s="6" t="s">
        <v>462</v>
      </c>
    </row>
    <row r="552" customFormat="false" ht="12.8" hidden="false" customHeight="false" outlineLevel="0" collapsed="false">
      <c r="G552" s="3" t="n">
        <v>44274</v>
      </c>
      <c r="H552" s="43" t="s">
        <v>23</v>
      </c>
      <c r="I552" s="5" t="n">
        <v>-39.42</v>
      </c>
      <c r="J552" s="6" t="s">
        <v>896</v>
      </c>
    </row>
    <row r="553" customFormat="false" ht="12.8" hidden="false" customHeight="false" outlineLevel="0" collapsed="false">
      <c r="G553" s="3" t="n">
        <v>44274</v>
      </c>
      <c r="H553" s="43" t="s">
        <v>23</v>
      </c>
      <c r="I553" s="5" t="n">
        <v>-117.89</v>
      </c>
      <c r="J553" s="6" t="s">
        <v>37</v>
      </c>
    </row>
    <row r="554" customFormat="false" ht="12.8" hidden="false" customHeight="false" outlineLevel="0" collapsed="false">
      <c r="G554" s="3" t="n">
        <v>44275</v>
      </c>
      <c r="H554" s="43" t="s">
        <v>23</v>
      </c>
      <c r="I554" s="5" t="n">
        <v>-126.13</v>
      </c>
      <c r="J554" s="462" t="s">
        <v>37</v>
      </c>
    </row>
    <row r="555" customFormat="false" ht="12.8" hidden="false" customHeight="false" outlineLevel="0" collapsed="false">
      <c r="G555" s="3" t="n">
        <v>44276</v>
      </c>
      <c r="H555" s="43" t="s">
        <v>23</v>
      </c>
      <c r="I555" s="5" t="n">
        <v>-138.14</v>
      </c>
      <c r="J555" s="462" t="s">
        <v>37</v>
      </c>
    </row>
    <row r="556" customFormat="false" ht="12.8" hidden="false" customHeight="false" outlineLevel="0" collapsed="false">
      <c r="G556" s="3" t="n">
        <v>44277</v>
      </c>
      <c r="H556" s="43" t="s">
        <v>23</v>
      </c>
      <c r="I556" s="5" t="n">
        <v>-650</v>
      </c>
      <c r="J556" s="462" t="s">
        <v>897</v>
      </c>
    </row>
    <row r="557" customFormat="false" ht="12.8" hidden="false" customHeight="false" outlineLevel="0" collapsed="false">
      <c r="G557" s="3" t="n">
        <v>44277</v>
      </c>
      <c r="H557" s="52" t="s">
        <v>14</v>
      </c>
      <c r="I557" s="5" t="n">
        <v>-720</v>
      </c>
      <c r="J557" s="462" t="s">
        <v>685</v>
      </c>
    </row>
    <row r="558" customFormat="false" ht="12.8" hidden="false" customHeight="false" outlineLevel="0" collapsed="false">
      <c r="G558" s="3" t="n">
        <v>44277</v>
      </c>
      <c r="H558" s="48" t="s">
        <v>26</v>
      </c>
      <c r="I558" s="5" t="n">
        <v>720</v>
      </c>
      <c r="J558" s="462" t="s">
        <v>38</v>
      </c>
    </row>
    <row r="559" customFormat="false" ht="12.8" hidden="false" customHeight="false" outlineLevel="0" collapsed="false">
      <c r="G559" s="3" t="n">
        <v>44277</v>
      </c>
      <c r="H559" s="48" t="s">
        <v>26</v>
      </c>
      <c r="I559" s="5" t="n">
        <v>-146.36</v>
      </c>
      <c r="J559" s="462" t="s">
        <v>47</v>
      </c>
    </row>
    <row r="560" customFormat="false" ht="12.8" hidden="false" customHeight="false" outlineLevel="0" collapsed="false">
      <c r="G560" s="3" t="n">
        <v>44277</v>
      </c>
      <c r="H560" s="48" t="s">
        <v>26</v>
      </c>
      <c r="I560" s="5" t="n">
        <v>-92.79</v>
      </c>
      <c r="J560" s="462" t="s">
        <v>53</v>
      </c>
    </row>
    <row r="561" customFormat="false" ht="12.8" hidden="false" customHeight="false" outlineLevel="0" collapsed="false">
      <c r="G561" s="3" t="n">
        <v>44277</v>
      </c>
      <c r="H561" s="48" t="s">
        <v>26</v>
      </c>
      <c r="I561" s="5" t="n">
        <v>-65</v>
      </c>
      <c r="J561" s="462" t="s">
        <v>844</v>
      </c>
    </row>
    <row r="562" customFormat="false" ht="12.8" hidden="false" customHeight="false" outlineLevel="0" collapsed="false">
      <c r="G562" s="3" t="n">
        <v>44277</v>
      </c>
      <c r="H562" s="48" t="s">
        <v>26</v>
      </c>
      <c r="I562" s="5" t="n">
        <v>-395.53</v>
      </c>
      <c r="J562" s="462" t="s">
        <v>843</v>
      </c>
    </row>
    <row r="563" customFormat="false" ht="12.8" hidden="false" customHeight="false" outlineLevel="0" collapsed="false">
      <c r="G563" s="3" t="n">
        <v>44277</v>
      </c>
      <c r="H563" s="48" t="s">
        <v>26</v>
      </c>
      <c r="I563" s="5" t="n">
        <v>-15</v>
      </c>
      <c r="J563" s="462" t="s">
        <v>880</v>
      </c>
    </row>
    <row r="564" customFormat="false" ht="12.8" hidden="false" customHeight="false" outlineLevel="0" collapsed="false">
      <c r="G564" s="3" t="n">
        <v>44277</v>
      </c>
      <c r="H564" s="38" t="s">
        <v>832</v>
      </c>
      <c r="I564" s="5" t="n">
        <v>15</v>
      </c>
      <c r="J564" s="462" t="s">
        <v>880</v>
      </c>
    </row>
    <row r="565" customFormat="false" ht="12.8" hidden="false" customHeight="false" outlineLevel="0" collapsed="false">
      <c r="G565" s="3" t="n">
        <v>44277</v>
      </c>
      <c r="H565" s="43" t="s">
        <v>23</v>
      </c>
      <c r="I565" s="5" t="n">
        <v>-130.88</v>
      </c>
      <c r="J565" s="462" t="s">
        <v>37</v>
      </c>
    </row>
    <row r="566" customFormat="false" ht="12.8" hidden="false" customHeight="false" outlineLevel="0" collapsed="false">
      <c r="G566" s="3" t="n">
        <v>44278</v>
      </c>
      <c r="H566" s="52" t="s">
        <v>14</v>
      </c>
      <c r="I566" s="5" t="n">
        <v>-130</v>
      </c>
      <c r="J566" s="462" t="s">
        <v>480</v>
      </c>
    </row>
    <row r="567" customFormat="false" ht="12.8" hidden="false" customHeight="false" outlineLevel="0" collapsed="false">
      <c r="G567" s="3" t="n">
        <v>44278</v>
      </c>
      <c r="H567" s="48" t="s">
        <v>26</v>
      </c>
      <c r="I567" s="5" t="n">
        <v>130</v>
      </c>
      <c r="J567" s="462" t="s">
        <v>38</v>
      </c>
    </row>
    <row r="568" customFormat="false" ht="12.8" hidden="false" customHeight="false" outlineLevel="0" collapsed="false">
      <c r="G568" s="3" t="n">
        <v>44278</v>
      </c>
      <c r="H568" s="48" t="s">
        <v>26</v>
      </c>
      <c r="I568" s="5" t="n">
        <v>-127.31</v>
      </c>
      <c r="J568" s="462" t="s">
        <v>37</v>
      </c>
    </row>
    <row r="569" customFormat="false" ht="12.8" hidden="false" customHeight="false" outlineLevel="0" collapsed="false">
      <c r="G569" s="3" t="n">
        <v>44279</v>
      </c>
      <c r="H569" s="26" t="s">
        <v>10</v>
      </c>
      <c r="I569" s="5" t="n">
        <v>-200</v>
      </c>
      <c r="J569" s="6" t="s">
        <v>898</v>
      </c>
    </row>
    <row r="570" customFormat="false" ht="12.8" hidden="false" customHeight="false" outlineLevel="0" collapsed="false">
      <c r="G570" s="3" t="n">
        <v>44279</v>
      </c>
      <c r="H570" s="32" t="s">
        <v>15</v>
      </c>
      <c r="I570" s="5" t="n">
        <v>200</v>
      </c>
      <c r="J570" s="6" t="s">
        <v>898</v>
      </c>
    </row>
    <row r="571" customFormat="false" ht="12.8" hidden="false" customHeight="false" outlineLevel="0" collapsed="false">
      <c r="G571" s="3" t="n">
        <v>44279</v>
      </c>
      <c r="H571" s="52" t="s">
        <v>14</v>
      </c>
      <c r="I571" s="5" t="n">
        <v>-150</v>
      </c>
      <c r="J571" s="462" t="s">
        <v>480</v>
      </c>
    </row>
    <row r="572" customFormat="false" ht="12.8" hidden="false" customHeight="false" outlineLevel="0" collapsed="false">
      <c r="G572" s="3" t="n">
        <v>44279</v>
      </c>
      <c r="H572" s="48" t="s">
        <v>26</v>
      </c>
      <c r="I572" s="5" t="n">
        <v>150</v>
      </c>
      <c r="J572" s="462" t="s">
        <v>38</v>
      </c>
    </row>
    <row r="573" customFormat="false" ht="12.8" hidden="false" customHeight="false" outlineLevel="0" collapsed="false">
      <c r="G573" s="3" t="n">
        <v>44279</v>
      </c>
      <c r="H573" s="48" t="s">
        <v>26</v>
      </c>
      <c r="I573" s="5" t="n">
        <v>-137.62</v>
      </c>
      <c r="J573" s="462" t="s">
        <v>37</v>
      </c>
    </row>
    <row r="574" customFormat="false" ht="12.8" hidden="false" customHeight="false" outlineLevel="0" collapsed="false">
      <c r="G574" s="3" t="n">
        <v>44280</v>
      </c>
      <c r="H574" s="32" t="s">
        <v>15</v>
      </c>
      <c r="I574" s="5" t="n">
        <v>-200</v>
      </c>
      <c r="J574" s="461" t="s">
        <v>853</v>
      </c>
    </row>
    <row r="575" customFormat="false" ht="12.8" hidden="false" customHeight="false" outlineLevel="0" collapsed="false">
      <c r="G575" s="3" t="n">
        <v>44280</v>
      </c>
      <c r="H575" s="52" t="s">
        <v>14</v>
      </c>
      <c r="I575" s="5" t="n">
        <v>-330</v>
      </c>
      <c r="J575" s="462" t="s">
        <v>480</v>
      </c>
    </row>
    <row r="576" customFormat="false" ht="12.8" hidden="false" customHeight="false" outlineLevel="0" collapsed="false">
      <c r="G576" s="3" t="n">
        <v>44280</v>
      </c>
      <c r="H576" s="48" t="s">
        <v>26</v>
      </c>
      <c r="I576" s="5" t="n">
        <v>330</v>
      </c>
      <c r="J576" s="462" t="s">
        <v>38</v>
      </c>
    </row>
    <row r="577" customFormat="false" ht="12.8" hidden="false" customHeight="false" outlineLevel="0" collapsed="false">
      <c r="G577" s="3" t="n">
        <v>44280</v>
      </c>
      <c r="H577" s="48" t="s">
        <v>26</v>
      </c>
      <c r="I577" s="5" t="n">
        <v>-121.62</v>
      </c>
      <c r="J577" s="462" t="s">
        <v>37</v>
      </c>
    </row>
    <row r="578" customFormat="false" ht="12.8" hidden="false" customHeight="false" outlineLevel="0" collapsed="false">
      <c r="G578" s="3" t="n">
        <v>44280</v>
      </c>
      <c r="H578" s="48" t="s">
        <v>26</v>
      </c>
      <c r="I578" s="5" t="n">
        <v>-150</v>
      </c>
      <c r="J578" s="6" t="s">
        <v>899</v>
      </c>
    </row>
    <row r="579" customFormat="false" ht="12.8" hidden="false" customHeight="false" outlineLevel="0" collapsed="false">
      <c r="G579" s="3" t="n">
        <v>44281</v>
      </c>
      <c r="H579" s="26" t="s">
        <v>10</v>
      </c>
      <c r="I579" s="5" t="n">
        <v>-150</v>
      </c>
      <c r="J579" s="6" t="s">
        <v>38</v>
      </c>
    </row>
    <row r="580" customFormat="false" ht="12.8" hidden="false" customHeight="false" outlineLevel="0" collapsed="false">
      <c r="G580" s="3" t="n">
        <v>44281</v>
      </c>
      <c r="H580" s="32" t="s">
        <v>15</v>
      </c>
      <c r="I580" s="5" t="n">
        <v>150</v>
      </c>
      <c r="J580" s="6" t="s">
        <v>38</v>
      </c>
    </row>
    <row r="581" customFormat="false" ht="12.8" hidden="false" customHeight="false" outlineLevel="0" collapsed="false">
      <c r="G581" s="3" t="n">
        <v>44281</v>
      </c>
      <c r="H581" s="32" t="s">
        <v>15</v>
      </c>
      <c r="I581" s="5" t="n">
        <v>-150</v>
      </c>
      <c r="J581" s="462" t="s">
        <v>868</v>
      </c>
    </row>
    <row r="582" customFormat="false" ht="12.8" hidden="false" customHeight="false" outlineLevel="0" collapsed="false">
      <c r="G582" s="3" t="n">
        <v>44281</v>
      </c>
      <c r="H582" s="52" t="s">
        <v>14</v>
      </c>
      <c r="I582" s="5" t="n">
        <v>-50</v>
      </c>
      <c r="J582" s="462" t="s">
        <v>480</v>
      </c>
    </row>
    <row r="583" customFormat="false" ht="12.8" hidden="false" customHeight="false" outlineLevel="0" collapsed="false">
      <c r="G583" s="3" t="n">
        <v>44281</v>
      </c>
      <c r="H583" s="48" t="s">
        <v>26</v>
      </c>
      <c r="I583" s="5" t="n">
        <v>50</v>
      </c>
      <c r="J583" s="462" t="s">
        <v>38</v>
      </c>
    </row>
    <row r="584" customFormat="false" ht="12.8" hidden="false" customHeight="false" outlineLevel="0" collapsed="false">
      <c r="G584" s="3" t="n">
        <v>44281</v>
      </c>
      <c r="H584" s="48" t="s">
        <v>26</v>
      </c>
      <c r="I584" s="5" t="n">
        <v>-116.74</v>
      </c>
      <c r="J584" s="462" t="s">
        <v>37</v>
      </c>
    </row>
    <row r="585" customFormat="false" ht="12.8" hidden="false" customHeight="false" outlineLevel="0" collapsed="false">
      <c r="G585" s="3" t="n">
        <v>44282</v>
      </c>
      <c r="H585" s="52" t="s">
        <v>14</v>
      </c>
      <c r="I585" s="5" t="n">
        <v>3.67</v>
      </c>
      <c r="J585" s="6" t="s">
        <v>40</v>
      </c>
    </row>
    <row r="586" customFormat="false" ht="12.8" hidden="false" customHeight="false" outlineLevel="0" collapsed="false">
      <c r="G586" s="3" t="n">
        <v>44282</v>
      </c>
      <c r="H586" s="52" t="s">
        <v>14</v>
      </c>
      <c r="I586" s="5" t="n">
        <v>-150</v>
      </c>
      <c r="J586" s="462" t="s">
        <v>480</v>
      </c>
    </row>
    <row r="587" customFormat="false" ht="12.8" hidden="false" customHeight="false" outlineLevel="0" collapsed="false">
      <c r="G587" s="3" t="n">
        <v>44282</v>
      </c>
      <c r="H587" s="48" t="s">
        <v>26</v>
      </c>
      <c r="I587" s="5" t="n">
        <v>150</v>
      </c>
      <c r="J587" s="462" t="s">
        <v>38</v>
      </c>
    </row>
    <row r="588" customFormat="false" ht="12.8" hidden="false" customHeight="false" outlineLevel="0" collapsed="false">
      <c r="G588" s="3" t="n">
        <v>44282</v>
      </c>
      <c r="H588" s="48" t="s">
        <v>26</v>
      </c>
      <c r="I588" s="5" t="n">
        <v>-124.9</v>
      </c>
      <c r="J588" s="462" t="s">
        <v>37</v>
      </c>
    </row>
    <row r="589" customFormat="false" ht="12.8" hidden="false" customHeight="false" outlineLevel="0" collapsed="false">
      <c r="G589" s="3" t="n">
        <v>44282</v>
      </c>
      <c r="H589" s="52" t="s">
        <v>14</v>
      </c>
      <c r="I589" s="5" t="n">
        <v>-8</v>
      </c>
      <c r="J589" s="462" t="s">
        <v>480</v>
      </c>
    </row>
    <row r="590" customFormat="false" ht="12.8" hidden="false" customHeight="false" outlineLevel="0" collapsed="false">
      <c r="G590" s="3" t="n">
        <v>44282</v>
      </c>
      <c r="H590" s="48" t="s">
        <v>26</v>
      </c>
      <c r="I590" s="5" t="n">
        <v>8</v>
      </c>
      <c r="J590" s="462" t="s">
        <v>38</v>
      </c>
    </row>
    <row r="591" customFormat="false" ht="12.8" hidden="false" customHeight="false" outlineLevel="0" collapsed="false">
      <c r="G591" s="3" t="n">
        <v>44283</v>
      </c>
      <c r="H591" s="48" t="s">
        <v>26</v>
      </c>
      <c r="I591" s="5" t="n">
        <v>-50</v>
      </c>
      <c r="J591" s="462" t="s">
        <v>707</v>
      </c>
    </row>
    <row r="592" customFormat="false" ht="12.8" hidden="false" customHeight="false" outlineLevel="0" collapsed="false">
      <c r="G592" s="3" t="n">
        <v>44283</v>
      </c>
      <c r="H592" s="52" t="s">
        <v>14</v>
      </c>
      <c r="I592" s="5" t="n">
        <v>50</v>
      </c>
      <c r="J592" s="462" t="s">
        <v>707</v>
      </c>
    </row>
    <row r="593" customFormat="false" ht="12.8" hidden="false" customHeight="false" outlineLevel="0" collapsed="false">
      <c r="G593" s="3" t="n">
        <v>44283</v>
      </c>
      <c r="H593" s="52" t="s">
        <v>14</v>
      </c>
      <c r="I593" s="5" t="n">
        <v>-140</v>
      </c>
      <c r="J593" s="462" t="s">
        <v>480</v>
      </c>
    </row>
    <row r="594" customFormat="false" ht="12.8" hidden="false" customHeight="false" outlineLevel="0" collapsed="false">
      <c r="G594" s="3" t="n">
        <v>44283</v>
      </c>
      <c r="H594" s="48" t="s">
        <v>26</v>
      </c>
      <c r="I594" s="5" t="n">
        <v>140</v>
      </c>
      <c r="J594" s="462" t="s">
        <v>38</v>
      </c>
    </row>
    <row r="595" customFormat="false" ht="12.8" hidden="false" customHeight="false" outlineLevel="0" collapsed="false">
      <c r="G595" s="3" t="n">
        <v>44283</v>
      </c>
      <c r="H595" s="48" t="s">
        <v>26</v>
      </c>
      <c r="I595" s="5" t="n">
        <v>-122.71</v>
      </c>
      <c r="J595" s="462" t="s">
        <v>37</v>
      </c>
    </row>
    <row r="596" customFormat="false" ht="12.8" hidden="false" customHeight="false" outlineLevel="0" collapsed="false">
      <c r="G596" s="3" t="n">
        <v>44284</v>
      </c>
      <c r="H596" s="26" t="s">
        <v>10</v>
      </c>
      <c r="I596" s="5" t="n">
        <v>-140</v>
      </c>
      <c r="J596" s="6" t="s">
        <v>38</v>
      </c>
    </row>
    <row r="597" customFormat="false" ht="12.8" hidden="false" customHeight="false" outlineLevel="0" collapsed="false">
      <c r="G597" s="3" t="n">
        <v>44284</v>
      </c>
      <c r="H597" s="32" t="s">
        <v>15</v>
      </c>
      <c r="I597" s="5" t="n">
        <v>140</v>
      </c>
      <c r="J597" s="6" t="s">
        <v>38</v>
      </c>
    </row>
    <row r="598" customFormat="false" ht="12.8" hidden="false" customHeight="false" outlineLevel="0" collapsed="false">
      <c r="G598" s="3" t="n">
        <v>44284</v>
      </c>
      <c r="H598" s="32" t="s">
        <v>15</v>
      </c>
      <c r="I598" s="5" t="n">
        <v>-131.15</v>
      </c>
      <c r="J598" s="462" t="s">
        <v>37</v>
      </c>
    </row>
    <row r="599" customFormat="false" ht="12.8" hidden="false" customHeight="false" outlineLevel="0" collapsed="false">
      <c r="G599" s="3" t="n">
        <v>44285</v>
      </c>
      <c r="H599" s="26" t="s">
        <v>10</v>
      </c>
      <c r="I599" s="5" t="n">
        <v>-132</v>
      </c>
      <c r="J599" s="6" t="s">
        <v>38</v>
      </c>
    </row>
    <row r="600" customFormat="false" ht="12.8" hidden="false" customHeight="false" outlineLevel="0" collapsed="false">
      <c r="G600" s="3" t="n">
        <v>44285</v>
      </c>
      <c r="H600" s="32" t="s">
        <v>15</v>
      </c>
      <c r="I600" s="5" t="n">
        <v>132</v>
      </c>
      <c r="J600" s="6" t="s">
        <v>38</v>
      </c>
    </row>
    <row r="601" customFormat="false" ht="12.8" hidden="false" customHeight="false" outlineLevel="0" collapsed="false">
      <c r="G601" s="3" t="n">
        <v>44285</v>
      </c>
      <c r="H601" s="32" t="s">
        <v>15</v>
      </c>
      <c r="I601" s="5" t="n">
        <v>-136.06</v>
      </c>
      <c r="J601" s="462" t="s">
        <v>37</v>
      </c>
    </row>
    <row r="602" customFormat="false" ht="12.8" hidden="false" customHeight="false" outlineLevel="0" collapsed="false">
      <c r="G602" s="3" t="n">
        <v>44286</v>
      </c>
      <c r="H602" s="26" t="s">
        <v>10</v>
      </c>
      <c r="I602" s="5" t="n">
        <v>-45</v>
      </c>
      <c r="J602" s="6" t="s">
        <v>38</v>
      </c>
    </row>
    <row r="603" customFormat="false" ht="12.8" hidden="false" customHeight="false" outlineLevel="0" collapsed="false">
      <c r="G603" s="3" t="n">
        <v>44286</v>
      </c>
      <c r="H603" s="32" t="s">
        <v>15</v>
      </c>
      <c r="I603" s="5" t="n">
        <v>45</v>
      </c>
      <c r="J603" s="6" t="s">
        <v>38</v>
      </c>
    </row>
    <row r="604" customFormat="false" ht="12.8" hidden="false" customHeight="false" outlineLevel="0" collapsed="false">
      <c r="G604" s="3" t="n">
        <v>44286</v>
      </c>
      <c r="H604" s="32" t="s">
        <v>15</v>
      </c>
      <c r="I604" s="5" t="n">
        <v>-41.33</v>
      </c>
      <c r="J604" s="462" t="s">
        <v>37</v>
      </c>
    </row>
    <row r="605" customFormat="false" ht="12.8" hidden="false" customHeight="false" outlineLevel="0" collapsed="false">
      <c r="G605" s="3" t="n">
        <v>44286</v>
      </c>
      <c r="H605" s="26" t="s">
        <v>10</v>
      </c>
      <c r="I605" s="5" t="n">
        <v>0.12</v>
      </c>
      <c r="J605" s="462" t="s">
        <v>900</v>
      </c>
    </row>
    <row r="606" customFormat="false" ht="12.8" hidden="false" customHeight="false" outlineLevel="0" collapsed="false">
      <c r="G606" s="3" t="n">
        <v>44286</v>
      </c>
      <c r="H606" s="43" t="s">
        <v>23</v>
      </c>
      <c r="I606" s="5" t="n">
        <v>-5</v>
      </c>
      <c r="J606" s="462" t="s">
        <v>900</v>
      </c>
    </row>
    <row r="607" customFormat="false" ht="12.8" hidden="false" customHeight="false" outlineLevel="0" collapsed="false">
      <c r="G607" s="3" t="n">
        <v>44286</v>
      </c>
      <c r="H607" s="48" t="s">
        <v>26</v>
      </c>
      <c r="I607" s="5" t="n">
        <v>-15</v>
      </c>
      <c r="J607" s="462" t="s">
        <v>900</v>
      </c>
    </row>
    <row r="608" customFormat="false" ht="12.8" hidden="false" customHeight="false" outlineLevel="0" collapsed="false">
      <c r="G608" s="3" t="n">
        <v>44286</v>
      </c>
      <c r="H608" s="38" t="s">
        <v>832</v>
      </c>
      <c r="I608" s="5" t="n">
        <v>-15.53</v>
      </c>
      <c r="J608" s="462" t="s">
        <v>900</v>
      </c>
    </row>
    <row r="609" customFormat="false" ht="12.8" hidden="false" customHeight="false" outlineLevel="0" collapsed="false">
      <c r="G609" s="25" t="n">
        <v>44287</v>
      </c>
      <c r="H609" s="52" t="s">
        <v>14</v>
      </c>
      <c r="I609" s="5" t="n">
        <v>-2140</v>
      </c>
      <c r="J609" s="462" t="s">
        <v>480</v>
      </c>
    </row>
    <row r="610" customFormat="false" ht="12.8" hidden="false" customHeight="false" outlineLevel="0" collapsed="false">
      <c r="G610" s="25" t="n">
        <v>44287</v>
      </c>
      <c r="H610" s="48" t="s">
        <v>26</v>
      </c>
      <c r="I610" s="5" t="n">
        <v>2140</v>
      </c>
      <c r="J610" s="462" t="s">
        <v>38</v>
      </c>
    </row>
    <row r="611" customFormat="false" ht="12.8" hidden="false" customHeight="false" outlineLevel="0" collapsed="false">
      <c r="G611" s="25" t="n">
        <v>44287</v>
      </c>
      <c r="H611" s="48" t="s">
        <v>26</v>
      </c>
      <c r="I611" s="5" t="n">
        <v>-2000</v>
      </c>
      <c r="J611" s="462" t="s">
        <v>38</v>
      </c>
    </row>
    <row r="612" customFormat="false" ht="12.8" hidden="false" customHeight="false" outlineLevel="0" collapsed="false">
      <c r="G612" s="25" t="n">
        <v>44287</v>
      </c>
      <c r="H612" s="32" t="s">
        <v>15</v>
      </c>
      <c r="I612" s="5" t="n">
        <v>2000</v>
      </c>
      <c r="J612" s="462" t="s">
        <v>38</v>
      </c>
    </row>
    <row r="613" customFormat="false" ht="12.8" hidden="false" customHeight="false" outlineLevel="0" collapsed="false">
      <c r="G613" s="25" t="n">
        <v>44287</v>
      </c>
      <c r="H613" s="48" t="s">
        <v>26</v>
      </c>
      <c r="I613" s="5" t="n">
        <v>-3</v>
      </c>
      <c r="J613" s="6" t="s">
        <v>887</v>
      </c>
    </row>
    <row r="614" customFormat="false" ht="12.8" hidden="false" customHeight="false" outlineLevel="0" collapsed="false">
      <c r="G614" s="25" t="n">
        <v>44287</v>
      </c>
      <c r="H614" s="48" t="s">
        <v>26</v>
      </c>
      <c r="I614" s="5" t="n">
        <v>-131.32</v>
      </c>
      <c r="J614" s="462" t="s">
        <v>37</v>
      </c>
    </row>
    <row r="615" customFormat="false" ht="12.8" hidden="false" customHeight="false" outlineLevel="0" collapsed="false">
      <c r="G615" s="3" t="n">
        <v>44286</v>
      </c>
      <c r="H615" s="466" t="s">
        <v>21</v>
      </c>
      <c r="I615" s="5" t="n">
        <v>-15</v>
      </c>
      <c r="J615" s="462" t="s">
        <v>900</v>
      </c>
    </row>
    <row r="616" customFormat="false" ht="12.8" hidden="false" customHeight="false" outlineLevel="0" collapsed="false">
      <c r="G616" s="25" t="n">
        <v>44288</v>
      </c>
      <c r="H616" s="448" t="s">
        <v>827</v>
      </c>
      <c r="I616" s="5" t="n">
        <v>0</v>
      </c>
      <c r="J616" s="6" t="s">
        <v>878</v>
      </c>
    </row>
    <row r="617" customFormat="false" ht="12.8" hidden="false" customHeight="false" outlineLevel="0" collapsed="false">
      <c r="G617" s="25" t="n">
        <v>44288</v>
      </c>
      <c r="H617" s="48" t="s">
        <v>26</v>
      </c>
      <c r="I617" s="5" t="n">
        <v>976.72</v>
      </c>
      <c r="J617" s="6" t="s">
        <v>878</v>
      </c>
    </row>
    <row r="618" customFormat="false" ht="12.8" hidden="false" customHeight="false" outlineLevel="0" collapsed="false">
      <c r="G618" s="25" t="n">
        <v>44288</v>
      </c>
      <c r="H618" s="48" t="s">
        <v>26</v>
      </c>
      <c r="I618" s="5" t="n">
        <v>-21</v>
      </c>
      <c r="J618" s="462" t="s">
        <v>880</v>
      </c>
    </row>
    <row r="619" customFormat="false" ht="12.8" hidden="false" customHeight="false" outlineLevel="0" collapsed="false">
      <c r="G619" s="25" t="n">
        <v>44288</v>
      </c>
      <c r="H619" s="38" t="s">
        <v>832</v>
      </c>
      <c r="I619" s="5" t="n">
        <v>21</v>
      </c>
      <c r="J619" s="462" t="s">
        <v>880</v>
      </c>
    </row>
    <row r="620" customFormat="false" ht="12.8" hidden="false" customHeight="false" outlineLevel="0" collapsed="false">
      <c r="G620" s="25" t="n">
        <v>44288</v>
      </c>
      <c r="H620" s="48" t="s">
        <v>26</v>
      </c>
      <c r="I620" s="5" t="n">
        <v>-828</v>
      </c>
      <c r="J620" s="462" t="s">
        <v>462</v>
      </c>
    </row>
    <row r="621" customFormat="false" ht="12.8" hidden="false" customHeight="false" outlineLevel="0" collapsed="false">
      <c r="G621" s="25" t="n">
        <v>44288</v>
      </c>
      <c r="H621" s="52" t="s">
        <v>14</v>
      </c>
      <c r="I621" s="5" t="n">
        <v>828</v>
      </c>
      <c r="J621" s="462" t="s">
        <v>462</v>
      </c>
    </row>
    <row r="622" customFormat="false" ht="12.8" hidden="false" customHeight="false" outlineLevel="0" collapsed="false">
      <c r="G622" s="25" t="n">
        <v>44288</v>
      </c>
      <c r="H622" s="48" t="s">
        <v>26</v>
      </c>
      <c r="I622" s="5" t="n">
        <v>-119.24</v>
      </c>
      <c r="J622" s="462" t="s">
        <v>37</v>
      </c>
    </row>
    <row r="623" customFormat="false" ht="12.8" hidden="false" customHeight="false" outlineLevel="0" collapsed="false">
      <c r="G623" s="25" t="n">
        <v>44288</v>
      </c>
      <c r="H623" s="32" t="s">
        <v>15</v>
      </c>
      <c r="I623" s="5" t="n">
        <v>-2007.88</v>
      </c>
      <c r="J623" s="462" t="s">
        <v>462</v>
      </c>
    </row>
    <row r="624" customFormat="false" ht="12.8" hidden="false" customHeight="false" outlineLevel="0" collapsed="false">
      <c r="G624" s="25" t="n">
        <v>44288</v>
      </c>
      <c r="H624" s="26" t="s">
        <v>10</v>
      </c>
      <c r="I624" s="5" t="n">
        <v>2007.88</v>
      </c>
      <c r="J624" s="462" t="s">
        <v>462</v>
      </c>
    </row>
    <row r="625" customFormat="false" ht="12.8" hidden="false" customHeight="false" outlineLevel="0" collapsed="false">
      <c r="G625" s="25" t="n">
        <v>44289</v>
      </c>
      <c r="H625" s="26" t="s">
        <v>10</v>
      </c>
      <c r="I625" s="5" t="n">
        <v>-135</v>
      </c>
      <c r="J625" s="462" t="s">
        <v>38</v>
      </c>
    </row>
    <row r="626" customFormat="false" ht="12.8" hidden="false" customHeight="false" outlineLevel="0" collapsed="false">
      <c r="G626" s="25" t="n">
        <v>44289</v>
      </c>
      <c r="H626" s="32" t="s">
        <v>15</v>
      </c>
      <c r="I626" s="5" t="n">
        <v>135</v>
      </c>
      <c r="J626" s="462" t="s">
        <v>38</v>
      </c>
    </row>
    <row r="627" customFormat="false" ht="12.8" hidden="false" customHeight="false" outlineLevel="0" collapsed="false">
      <c r="G627" s="25" t="n">
        <v>44289</v>
      </c>
      <c r="H627" s="32" t="s">
        <v>15</v>
      </c>
      <c r="I627" s="5" t="n">
        <v>-122.09</v>
      </c>
      <c r="J627" s="462" t="s">
        <v>37</v>
      </c>
    </row>
    <row r="628" customFormat="false" ht="12.8" hidden="false" customHeight="false" outlineLevel="0" collapsed="false">
      <c r="G628" s="25" t="n">
        <v>44290</v>
      </c>
      <c r="H628" s="26" t="s">
        <v>10</v>
      </c>
      <c r="I628" s="5" t="n">
        <v>-122</v>
      </c>
      <c r="J628" s="462" t="s">
        <v>38</v>
      </c>
    </row>
    <row r="629" customFormat="false" ht="12.8" hidden="false" customHeight="false" outlineLevel="0" collapsed="false">
      <c r="G629" s="25" t="n">
        <v>44290</v>
      </c>
      <c r="H629" s="32" t="s">
        <v>15</v>
      </c>
      <c r="I629" s="5" t="n">
        <v>122</v>
      </c>
      <c r="J629" s="462" t="s">
        <v>38</v>
      </c>
    </row>
    <row r="630" customFormat="false" ht="12.8" hidden="false" customHeight="false" outlineLevel="0" collapsed="false">
      <c r="G630" s="25" t="n">
        <v>44290</v>
      </c>
      <c r="H630" s="32" t="s">
        <v>15</v>
      </c>
      <c r="I630" s="5" t="n">
        <v>-124.05</v>
      </c>
      <c r="J630" s="462" t="s">
        <v>37</v>
      </c>
    </row>
    <row r="631" customFormat="false" ht="12.8" hidden="false" customHeight="false" outlineLevel="0" collapsed="false">
      <c r="G631" s="25" t="n">
        <v>44291</v>
      </c>
      <c r="H631" s="26" t="s">
        <v>10</v>
      </c>
      <c r="I631" s="5" t="n">
        <v>-124</v>
      </c>
      <c r="J631" s="462" t="s">
        <v>38</v>
      </c>
    </row>
    <row r="632" customFormat="false" ht="12.8" hidden="false" customHeight="false" outlineLevel="0" collapsed="false">
      <c r="G632" s="25" t="n">
        <v>44291</v>
      </c>
      <c r="H632" s="32" t="s">
        <v>15</v>
      </c>
      <c r="I632" s="5" t="n">
        <v>124</v>
      </c>
      <c r="J632" s="462" t="s">
        <v>38</v>
      </c>
    </row>
    <row r="633" customFormat="false" ht="12.8" hidden="false" customHeight="false" outlineLevel="0" collapsed="false">
      <c r="G633" s="25" t="n">
        <v>44291</v>
      </c>
      <c r="H633" s="32" t="s">
        <v>15</v>
      </c>
      <c r="I633" s="5" t="n">
        <v>-120.91</v>
      </c>
      <c r="J633" s="462" t="s">
        <v>37</v>
      </c>
    </row>
    <row r="634" customFormat="false" ht="12.8" hidden="false" customHeight="false" outlineLevel="0" collapsed="false">
      <c r="G634" s="25" t="n">
        <v>44292</v>
      </c>
      <c r="H634" s="26" t="s">
        <v>10</v>
      </c>
      <c r="I634" s="5" t="n">
        <v>-121</v>
      </c>
      <c r="J634" s="462" t="s">
        <v>38</v>
      </c>
    </row>
    <row r="635" customFormat="false" ht="12.8" hidden="false" customHeight="false" outlineLevel="0" collapsed="false">
      <c r="G635" s="25" t="n">
        <v>44292</v>
      </c>
      <c r="H635" s="32" t="s">
        <v>15</v>
      </c>
      <c r="I635" s="5" t="n">
        <v>121</v>
      </c>
      <c r="J635" s="462" t="s">
        <v>38</v>
      </c>
    </row>
    <row r="636" customFormat="false" ht="12.8" hidden="false" customHeight="false" outlineLevel="0" collapsed="false">
      <c r="G636" s="25" t="n">
        <v>44292</v>
      </c>
      <c r="H636" s="32" t="s">
        <v>15</v>
      </c>
      <c r="I636" s="5" t="n">
        <v>-126.76</v>
      </c>
      <c r="J636" s="462" t="s">
        <v>37</v>
      </c>
    </row>
    <row r="637" customFormat="false" ht="12.8" hidden="false" customHeight="false" outlineLevel="0" collapsed="false">
      <c r="G637" s="25" t="n">
        <v>44293</v>
      </c>
      <c r="H637" s="26" t="s">
        <v>10</v>
      </c>
      <c r="I637" s="5" t="n">
        <v>-127</v>
      </c>
      <c r="J637" s="462" t="s">
        <v>38</v>
      </c>
    </row>
    <row r="638" customFormat="false" ht="12.8" hidden="false" customHeight="false" outlineLevel="0" collapsed="false">
      <c r="G638" s="25" t="n">
        <v>44293</v>
      </c>
      <c r="H638" s="32" t="s">
        <v>15</v>
      </c>
      <c r="I638" s="5" t="n">
        <v>127</v>
      </c>
      <c r="J638" s="462" t="s">
        <v>38</v>
      </c>
    </row>
    <row r="639" customFormat="false" ht="12.8" hidden="false" customHeight="false" outlineLevel="0" collapsed="false">
      <c r="G639" s="25" t="n">
        <v>44293</v>
      </c>
      <c r="H639" s="32" t="s">
        <v>15</v>
      </c>
      <c r="I639" s="5" t="n">
        <v>-117.76</v>
      </c>
      <c r="J639" s="462" t="s">
        <v>37</v>
      </c>
    </row>
    <row r="640" customFormat="false" ht="12.8" hidden="false" customHeight="false" outlineLevel="0" collapsed="false">
      <c r="G640" s="25" t="n">
        <v>44291</v>
      </c>
      <c r="H640" s="38" t="s">
        <v>832</v>
      </c>
      <c r="I640" s="5" t="n">
        <v>-4.47</v>
      </c>
      <c r="J640" s="462" t="s">
        <v>901</v>
      </c>
    </row>
    <row r="641" customFormat="false" ht="12.8" hidden="false" customHeight="false" outlineLevel="0" collapsed="false">
      <c r="G641" s="25" t="n">
        <v>44294</v>
      </c>
      <c r="H641" s="26" t="s">
        <v>10</v>
      </c>
      <c r="I641" s="5" t="n">
        <v>-117</v>
      </c>
      <c r="J641" s="462" t="s">
        <v>38</v>
      </c>
    </row>
    <row r="642" customFormat="false" ht="12.8" hidden="false" customHeight="false" outlineLevel="0" collapsed="false">
      <c r="G642" s="25" t="n">
        <v>44294</v>
      </c>
      <c r="H642" s="32" t="s">
        <v>15</v>
      </c>
      <c r="I642" s="5" t="n">
        <v>117</v>
      </c>
      <c r="J642" s="462" t="s">
        <v>38</v>
      </c>
    </row>
    <row r="643" customFormat="false" ht="12.8" hidden="false" customHeight="false" outlineLevel="0" collapsed="false">
      <c r="G643" s="25" t="n">
        <v>44294</v>
      </c>
      <c r="H643" s="32" t="s">
        <v>15</v>
      </c>
      <c r="I643" s="5" t="n">
        <v>-121.72</v>
      </c>
      <c r="J643" s="462" t="s">
        <v>37</v>
      </c>
    </row>
    <row r="644" customFormat="false" ht="12.8" hidden="false" customHeight="false" outlineLevel="0" collapsed="false">
      <c r="G644" s="25" t="n">
        <v>44295</v>
      </c>
      <c r="H644" s="26" t="s">
        <v>10</v>
      </c>
      <c r="I644" s="5" t="n">
        <v>-222</v>
      </c>
      <c r="J644" s="462" t="s">
        <v>38</v>
      </c>
    </row>
    <row r="645" customFormat="false" ht="12.8" hidden="false" customHeight="false" outlineLevel="0" collapsed="false">
      <c r="G645" s="25" t="n">
        <v>44295</v>
      </c>
      <c r="H645" s="32" t="s">
        <v>15</v>
      </c>
      <c r="I645" s="5" t="n">
        <v>222</v>
      </c>
      <c r="J645" s="462" t="s">
        <v>38</v>
      </c>
    </row>
    <row r="646" customFormat="false" ht="12.8" hidden="false" customHeight="false" outlineLevel="0" collapsed="false">
      <c r="G646" s="25" t="n">
        <v>44295</v>
      </c>
      <c r="H646" s="32" t="s">
        <v>15</v>
      </c>
      <c r="I646" s="5" t="n">
        <v>-200</v>
      </c>
      <c r="J646" s="462" t="s">
        <v>868</v>
      </c>
    </row>
    <row r="647" customFormat="false" ht="12.8" hidden="false" customHeight="false" outlineLevel="0" collapsed="false">
      <c r="G647" s="25" t="n">
        <v>44295</v>
      </c>
      <c r="H647" s="32" t="s">
        <v>15</v>
      </c>
      <c r="I647" s="5" t="n">
        <v>-20</v>
      </c>
      <c r="J647" s="462" t="s">
        <v>868</v>
      </c>
    </row>
    <row r="648" customFormat="false" ht="12.8" hidden="false" customHeight="false" outlineLevel="0" collapsed="false">
      <c r="G648" s="25" t="n">
        <v>44295</v>
      </c>
      <c r="H648" s="32" t="s">
        <v>15</v>
      </c>
      <c r="I648" s="5" t="n">
        <v>-10</v>
      </c>
      <c r="J648" s="462" t="s">
        <v>868</v>
      </c>
    </row>
    <row r="649" customFormat="false" ht="12.8" hidden="false" customHeight="false" outlineLevel="0" collapsed="false">
      <c r="G649" s="25" t="n">
        <v>44296</v>
      </c>
      <c r="H649" s="26" t="s">
        <v>10</v>
      </c>
      <c r="I649" s="5" t="n">
        <v>-130</v>
      </c>
      <c r="J649" s="462" t="s">
        <v>38</v>
      </c>
    </row>
    <row r="650" customFormat="false" ht="12.8" hidden="false" customHeight="false" outlineLevel="0" collapsed="false">
      <c r="G650" s="25" t="n">
        <v>44296</v>
      </c>
      <c r="H650" s="32" t="s">
        <v>15</v>
      </c>
      <c r="I650" s="5" t="n">
        <v>130</v>
      </c>
      <c r="J650" s="462" t="s">
        <v>38</v>
      </c>
    </row>
    <row r="651" customFormat="false" ht="12.8" hidden="false" customHeight="false" outlineLevel="0" collapsed="false">
      <c r="G651" s="25" t="n">
        <v>44296</v>
      </c>
      <c r="H651" s="32" t="s">
        <v>15</v>
      </c>
      <c r="I651" s="5" t="n">
        <v>-118.54</v>
      </c>
      <c r="J651" s="462" t="s">
        <v>37</v>
      </c>
    </row>
    <row r="652" customFormat="false" ht="12.8" hidden="false" customHeight="false" outlineLevel="0" collapsed="false">
      <c r="G652" s="25" t="n">
        <v>44297</v>
      </c>
      <c r="H652" s="52" t="s">
        <v>14</v>
      </c>
      <c r="I652" s="5" t="n">
        <v>-120</v>
      </c>
      <c r="J652" s="462" t="s">
        <v>38</v>
      </c>
    </row>
    <row r="653" customFormat="false" ht="12.8" hidden="false" customHeight="false" outlineLevel="0" collapsed="false">
      <c r="G653" s="25" t="n">
        <v>44297</v>
      </c>
      <c r="H653" s="48" t="s">
        <v>26</v>
      </c>
      <c r="I653" s="5" t="n">
        <v>120</v>
      </c>
      <c r="J653" s="462" t="s">
        <v>38</v>
      </c>
    </row>
    <row r="654" customFormat="false" ht="12.8" hidden="false" customHeight="false" outlineLevel="0" collapsed="false">
      <c r="G654" s="25" t="n">
        <v>44297</v>
      </c>
      <c r="H654" s="48" t="s">
        <v>26</v>
      </c>
      <c r="I654" s="5" t="n">
        <v>-121.31</v>
      </c>
      <c r="J654" s="462" t="s">
        <v>37</v>
      </c>
    </row>
    <row r="655" customFormat="false" ht="12.8" hidden="false" customHeight="false" outlineLevel="0" collapsed="false">
      <c r="G655" s="25" t="n">
        <v>44298</v>
      </c>
      <c r="H655" s="26" t="s">
        <v>10</v>
      </c>
      <c r="I655" s="5" t="n">
        <v>-120</v>
      </c>
      <c r="J655" s="462" t="s">
        <v>38</v>
      </c>
    </row>
    <row r="656" customFormat="false" ht="12.8" hidden="false" customHeight="false" outlineLevel="0" collapsed="false">
      <c r="G656" s="25" t="n">
        <v>44298</v>
      </c>
      <c r="H656" s="32" t="s">
        <v>15</v>
      </c>
      <c r="I656" s="5" t="n">
        <v>120</v>
      </c>
      <c r="J656" s="462" t="s">
        <v>38</v>
      </c>
    </row>
    <row r="657" customFormat="false" ht="12.8" hidden="false" customHeight="false" outlineLevel="0" collapsed="false">
      <c r="G657" s="25" t="n">
        <v>44298</v>
      </c>
      <c r="H657" s="32" t="s">
        <v>15</v>
      </c>
      <c r="I657" s="5" t="n">
        <v>-129.84</v>
      </c>
      <c r="J657" s="462" t="s">
        <v>37</v>
      </c>
    </row>
    <row r="658" customFormat="false" ht="12.8" hidden="false" customHeight="false" outlineLevel="0" collapsed="false">
      <c r="G658" s="25" t="n">
        <v>44299</v>
      </c>
      <c r="H658" s="26" t="s">
        <v>10</v>
      </c>
      <c r="I658" s="5" t="n">
        <v>-130</v>
      </c>
      <c r="J658" s="462" t="s">
        <v>38</v>
      </c>
    </row>
    <row r="659" customFormat="false" ht="12.8" hidden="false" customHeight="false" outlineLevel="0" collapsed="false">
      <c r="G659" s="25" t="n">
        <v>44299</v>
      </c>
      <c r="H659" s="32" t="s">
        <v>15</v>
      </c>
      <c r="I659" s="5" t="n">
        <v>130</v>
      </c>
      <c r="J659" s="462" t="s">
        <v>38</v>
      </c>
    </row>
    <row r="660" customFormat="false" ht="12.8" hidden="false" customHeight="false" outlineLevel="0" collapsed="false">
      <c r="G660" s="25" t="n">
        <v>44299</v>
      </c>
      <c r="H660" s="32" t="s">
        <v>15</v>
      </c>
      <c r="I660" s="5" t="n">
        <v>-134.03</v>
      </c>
      <c r="J660" s="462" t="s">
        <v>37</v>
      </c>
    </row>
    <row r="661" customFormat="false" ht="12.8" hidden="false" customHeight="false" outlineLevel="0" collapsed="false">
      <c r="G661" s="25" t="n">
        <v>44300</v>
      </c>
      <c r="H661" s="26" t="s">
        <v>10</v>
      </c>
      <c r="I661" s="5" t="n">
        <v>-133</v>
      </c>
      <c r="J661" s="462" t="s">
        <v>38</v>
      </c>
    </row>
    <row r="662" customFormat="false" ht="12.8" hidden="false" customHeight="false" outlineLevel="0" collapsed="false">
      <c r="G662" s="25" t="n">
        <v>44300</v>
      </c>
      <c r="H662" s="32" t="s">
        <v>15</v>
      </c>
      <c r="I662" s="5" t="n">
        <v>133</v>
      </c>
      <c r="J662" s="462" t="s">
        <v>38</v>
      </c>
    </row>
    <row r="663" customFormat="false" ht="12.8" hidden="false" customHeight="false" outlineLevel="0" collapsed="false">
      <c r="G663" s="25" t="n">
        <v>44300</v>
      </c>
      <c r="H663" s="32" t="s">
        <v>15</v>
      </c>
      <c r="I663" s="5" t="n">
        <v>-121.98</v>
      </c>
      <c r="J663" s="462" t="s">
        <v>37</v>
      </c>
    </row>
    <row r="664" customFormat="false" ht="12.8" hidden="false" customHeight="false" outlineLevel="0" collapsed="false">
      <c r="G664" s="25" t="n">
        <v>44301</v>
      </c>
      <c r="H664" s="52" t="s">
        <v>14</v>
      </c>
      <c r="I664" s="5" t="n">
        <v>-150</v>
      </c>
      <c r="J664" s="462" t="s">
        <v>38</v>
      </c>
    </row>
    <row r="665" customFormat="false" ht="12.8" hidden="false" customHeight="false" outlineLevel="0" collapsed="false">
      <c r="G665" s="25" t="n">
        <v>44301</v>
      </c>
      <c r="H665" s="48" t="s">
        <v>26</v>
      </c>
      <c r="I665" s="5" t="n">
        <v>150</v>
      </c>
      <c r="J665" s="462" t="s">
        <v>38</v>
      </c>
    </row>
    <row r="666" customFormat="false" ht="12.8" hidden="false" customHeight="false" outlineLevel="0" collapsed="false">
      <c r="G666" s="25" t="n">
        <v>44301</v>
      </c>
      <c r="H666" s="48" t="s">
        <v>26</v>
      </c>
      <c r="I666" s="5" t="n">
        <v>-103.38</v>
      </c>
      <c r="J666" s="462" t="s">
        <v>37</v>
      </c>
    </row>
    <row r="667" customFormat="false" ht="12.8" hidden="false" customHeight="false" outlineLevel="0" collapsed="false">
      <c r="G667" s="25" t="n">
        <v>44301</v>
      </c>
      <c r="H667" s="48" t="s">
        <v>26</v>
      </c>
      <c r="I667" s="5" t="n">
        <v>-48.22</v>
      </c>
      <c r="J667" s="6" t="s">
        <v>841</v>
      </c>
    </row>
    <row r="668" customFormat="false" ht="12.8" hidden="false" customHeight="false" outlineLevel="0" collapsed="false">
      <c r="G668" s="25" t="n">
        <v>44302</v>
      </c>
      <c r="H668" s="43" t="s">
        <v>23</v>
      </c>
      <c r="I668" s="5" t="n">
        <v>1386</v>
      </c>
      <c r="J668" s="6" t="s">
        <v>249</v>
      </c>
    </row>
    <row r="669" customFormat="false" ht="12.8" hidden="false" customHeight="false" outlineLevel="0" collapsed="false">
      <c r="G669" s="25" t="n">
        <v>44302</v>
      </c>
      <c r="H669" s="43" t="s">
        <v>23</v>
      </c>
      <c r="I669" s="5" t="n">
        <v>500</v>
      </c>
      <c r="J669" s="6" t="s">
        <v>902</v>
      </c>
    </row>
    <row r="670" customFormat="false" ht="12.8" hidden="false" customHeight="false" outlineLevel="0" collapsed="false">
      <c r="G670" s="25" t="n">
        <v>44302</v>
      </c>
      <c r="H670" s="43" t="s">
        <v>23</v>
      </c>
      <c r="I670" s="5" t="n">
        <v>-5</v>
      </c>
      <c r="J670" s="6" t="s">
        <v>890</v>
      </c>
    </row>
    <row r="671" customFormat="false" ht="12.8" hidden="false" customHeight="false" outlineLevel="0" collapsed="false">
      <c r="G671" s="25" t="n">
        <v>44302</v>
      </c>
      <c r="H671" s="48" t="s">
        <v>26</v>
      </c>
      <c r="I671" s="5" t="n">
        <v>-10</v>
      </c>
      <c r="J671" s="6" t="s">
        <v>462</v>
      </c>
    </row>
    <row r="672" customFormat="false" ht="12.8" hidden="false" customHeight="false" outlineLevel="0" collapsed="false">
      <c r="G672" s="25" t="n">
        <v>44302</v>
      </c>
      <c r="H672" s="52" t="s">
        <v>14</v>
      </c>
      <c r="I672" s="5" t="n">
        <v>10</v>
      </c>
      <c r="J672" s="6" t="s">
        <v>462</v>
      </c>
    </row>
    <row r="673" customFormat="false" ht="12.8" hidden="false" customHeight="false" outlineLevel="0" collapsed="false">
      <c r="G673" s="25" t="n">
        <v>44302</v>
      </c>
      <c r="H673" s="43" t="s">
        <v>23</v>
      </c>
      <c r="I673" s="5" t="n">
        <v>-117.93</v>
      </c>
      <c r="J673" s="6" t="s">
        <v>37</v>
      </c>
    </row>
    <row r="674" customFormat="false" ht="12.8" hidden="false" customHeight="false" outlineLevel="0" collapsed="false">
      <c r="G674" s="25" t="n">
        <v>44303</v>
      </c>
      <c r="H674" s="43" t="s">
        <v>23</v>
      </c>
      <c r="I674" s="5" t="n">
        <v>-124.39</v>
      </c>
      <c r="J674" s="6" t="s">
        <v>37</v>
      </c>
    </row>
    <row r="675" customFormat="false" ht="12.8" hidden="false" customHeight="false" outlineLevel="0" collapsed="false">
      <c r="G675" s="25" t="n">
        <v>44304</v>
      </c>
      <c r="H675" s="43" t="s">
        <v>23</v>
      </c>
      <c r="I675" s="5" t="n">
        <v>-122.42</v>
      </c>
      <c r="J675" s="6" t="s">
        <v>37</v>
      </c>
    </row>
    <row r="676" customFormat="false" ht="12.8" hidden="false" customHeight="false" outlineLevel="0" collapsed="false">
      <c r="G676" s="25" t="n">
        <v>44305</v>
      </c>
      <c r="H676" s="43" t="s">
        <v>23</v>
      </c>
      <c r="I676" s="5" t="n">
        <v>-124.9</v>
      </c>
      <c r="J676" s="6" t="s">
        <v>37</v>
      </c>
    </row>
    <row r="677" customFormat="false" ht="12.8" hidden="false" customHeight="false" outlineLevel="0" collapsed="false">
      <c r="G677" s="25" t="n">
        <v>44306</v>
      </c>
      <c r="H677" s="43" t="s">
        <v>23</v>
      </c>
      <c r="I677" s="5" t="n">
        <v>-128.83</v>
      </c>
      <c r="J677" s="6" t="s">
        <v>37</v>
      </c>
    </row>
    <row r="678" customFormat="false" ht="12.8" hidden="false" customHeight="false" outlineLevel="0" collapsed="false">
      <c r="G678" s="25" t="n">
        <v>44307</v>
      </c>
      <c r="H678" s="43" t="s">
        <v>23</v>
      </c>
      <c r="I678" s="5" t="n">
        <v>-117.27</v>
      </c>
      <c r="J678" s="6" t="s">
        <v>37</v>
      </c>
    </row>
    <row r="679" customFormat="false" ht="12.8" hidden="false" customHeight="false" outlineLevel="0" collapsed="false">
      <c r="G679" s="25" t="n">
        <v>44308</v>
      </c>
      <c r="H679" s="43" t="s">
        <v>23</v>
      </c>
      <c r="I679" s="5" t="n">
        <v>-40</v>
      </c>
      <c r="J679" s="462" t="s">
        <v>903</v>
      </c>
    </row>
    <row r="680" customFormat="false" ht="12.8" hidden="false" customHeight="false" outlineLevel="0" collapsed="false">
      <c r="G680" s="25" t="n">
        <v>44308</v>
      </c>
      <c r="H680" s="52" t="s">
        <v>14</v>
      </c>
      <c r="I680" s="5" t="n">
        <v>-700</v>
      </c>
      <c r="J680" s="462" t="s">
        <v>685</v>
      </c>
    </row>
    <row r="681" customFormat="false" ht="12.8" hidden="false" customHeight="false" outlineLevel="0" collapsed="false">
      <c r="G681" s="25" t="n">
        <v>44308</v>
      </c>
      <c r="H681" s="48" t="s">
        <v>26</v>
      </c>
      <c r="I681" s="5" t="n">
        <v>700</v>
      </c>
      <c r="J681" s="462" t="s">
        <v>685</v>
      </c>
    </row>
    <row r="682" customFormat="false" ht="12.8" hidden="false" customHeight="false" outlineLevel="0" collapsed="false">
      <c r="G682" s="25" t="n">
        <v>44308</v>
      </c>
      <c r="H682" s="48" t="s">
        <v>26</v>
      </c>
      <c r="I682" s="5" t="n">
        <v>-133.42</v>
      </c>
      <c r="J682" s="6" t="s">
        <v>47</v>
      </c>
    </row>
    <row r="683" customFormat="false" ht="12.8" hidden="false" customHeight="false" outlineLevel="0" collapsed="false">
      <c r="G683" s="25" t="n">
        <v>44308</v>
      </c>
      <c r="H683" s="48" t="s">
        <v>26</v>
      </c>
      <c r="I683" s="5" t="n">
        <v>-403.38</v>
      </c>
      <c r="J683" s="6" t="s">
        <v>843</v>
      </c>
    </row>
    <row r="684" customFormat="false" ht="12.8" hidden="false" customHeight="false" outlineLevel="0" collapsed="false">
      <c r="G684" s="25" t="n">
        <v>44308</v>
      </c>
      <c r="H684" s="48" t="s">
        <v>26</v>
      </c>
      <c r="I684" s="5" t="n">
        <v>-93.56</v>
      </c>
      <c r="J684" s="6" t="s">
        <v>53</v>
      </c>
    </row>
    <row r="685" customFormat="false" ht="12.8" hidden="false" customHeight="false" outlineLevel="0" collapsed="false">
      <c r="G685" s="25" t="n">
        <v>44308</v>
      </c>
      <c r="H685" s="48" t="s">
        <v>26</v>
      </c>
      <c r="I685" s="5" t="n">
        <v>-65</v>
      </c>
      <c r="J685" s="462" t="s">
        <v>844</v>
      </c>
      <c r="K685" s="465"/>
    </row>
    <row r="686" customFormat="false" ht="12.8" hidden="false" customHeight="false" outlineLevel="0" collapsed="false">
      <c r="G686" s="25" t="n">
        <v>44308</v>
      </c>
      <c r="H686" s="43" t="s">
        <v>23</v>
      </c>
      <c r="I686" s="5" t="n">
        <v>-141.34</v>
      </c>
      <c r="J686" s="6" t="s">
        <v>37</v>
      </c>
    </row>
    <row r="687" customFormat="false" ht="12.8" hidden="false" customHeight="false" outlineLevel="0" collapsed="false">
      <c r="G687" s="25" t="n">
        <v>44309</v>
      </c>
      <c r="H687" s="43" t="s">
        <v>23</v>
      </c>
      <c r="I687" s="5" t="n">
        <v>-90.16</v>
      </c>
      <c r="J687" s="6" t="s">
        <v>37</v>
      </c>
    </row>
    <row r="688" customFormat="false" ht="12.8" hidden="false" customHeight="false" outlineLevel="0" collapsed="false">
      <c r="G688" s="25" t="n">
        <v>44309</v>
      </c>
      <c r="H688" s="26" t="s">
        <v>10</v>
      </c>
      <c r="I688" s="5" t="n">
        <v>-188</v>
      </c>
      <c r="J688" s="462" t="s">
        <v>38</v>
      </c>
    </row>
    <row r="689" customFormat="false" ht="12.8" hidden="false" customHeight="false" outlineLevel="0" collapsed="false">
      <c r="G689" s="25" t="n">
        <v>44309</v>
      </c>
      <c r="H689" s="32" t="s">
        <v>15</v>
      </c>
      <c r="I689" s="5" t="n">
        <v>188</v>
      </c>
      <c r="J689" s="462" t="s">
        <v>38</v>
      </c>
    </row>
    <row r="690" customFormat="false" ht="12.8" hidden="false" customHeight="false" outlineLevel="0" collapsed="false">
      <c r="G690" s="25" t="n">
        <v>44309</v>
      </c>
      <c r="H690" s="32" t="s">
        <v>15</v>
      </c>
      <c r="I690" s="5" t="n">
        <v>-200</v>
      </c>
      <c r="J690" s="462" t="s">
        <v>868</v>
      </c>
    </row>
    <row r="691" customFormat="false" ht="12.8" hidden="false" customHeight="false" outlineLevel="0" collapsed="false">
      <c r="G691" s="25" t="n">
        <v>44310</v>
      </c>
      <c r="H691" s="26" t="s">
        <v>10</v>
      </c>
      <c r="I691" s="5" t="n">
        <v>-200</v>
      </c>
      <c r="J691" s="462" t="s">
        <v>38</v>
      </c>
    </row>
    <row r="692" customFormat="false" ht="12.8" hidden="false" customHeight="false" outlineLevel="0" collapsed="false">
      <c r="G692" s="25" t="n">
        <v>44310</v>
      </c>
      <c r="H692" s="32" t="s">
        <v>15</v>
      </c>
      <c r="I692" s="5" t="n">
        <v>200</v>
      </c>
      <c r="J692" s="462" t="s">
        <v>38</v>
      </c>
    </row>
    <row r="693" customFormat="false" ht="12.8" hidden="false" customHeight="false" outlineLevel="0" collapsed="false">
      <c r="G693" s="25" t="n">
        <v>44310</v>
      </c>
      <c r="H693" s="43" t="s">
        <v>23</v>
      </c>
      <c r="I693" s="5" t="n">
        <v>-99.7</v>
      </c>
      <c r="J693" s="6" t="s">
        <v>37</v>
      </c>
    </row>
    <row r="694" customFormat="false" ht="12.8" hidden="false" customHeight="false" outlineLevel="0" collapsed="false">
      <c r="G694" s="25" t="n">
        <v>44311</v>
      </c>
      <c r="H694" s="32" t="s">
        <v>15</v>
      </c>
      <c r="I694" s="5" t="n">
        <v>-200</v>
      </c>
      <c r="J694" s="462" t="s">
        <v>904</v>
      </c>
    </row>
    <row r="695" customFormat="false" ht="12.8" hidden="false" customHeight="false" outlineLevel="0" collapsed="false">
      <c r="G695" s="25" t="n">
        <v>44311</v>
      </c>
      <c r="H695" s="43" t="s">
        <v>23</v>
      </c>
      <c r="I695" s="5" t="n">
        <v>-96.01</v>
      </c>
      <c r="J695" s="6" t="s">
        <v>37</v>
      </c>
    </row>
    <row r="696" customFormat="false" ht="12.8" hidden="false" customHeight="false" outlineLevel="0" collapsed="false">
      <c r="G696" s="25" t="n">
        <v>44312</v>
      </c>
      <c r="H696" s="43" t="s">
        <v>23</v>
      </c>
      <c r="I696" s="5" t="n">
        <v>-92.35</v>
      </c>
      <c r="J696" s="6" t="s">
        <v>37</v>
      </c>
    </row>
    <row r="697" customFormat="false" ht="12.8" hidden="false" customHeight="false" outlineLevel="0" collapsed="false">
      <c r="G697" s="25" t="n">
        <v>44313</v>
      </c>
      <c r="H697" s="43" t="s">
        <v>23</v>
      </c>
      <c r="I697" s="5" t="n">
        <v>-85.66</v>
      </c>
      <c r="J697" s="6" t="s">
        <v>37</v>
      </c>
    </row>
    <row r="698" customFormat="false" ht="12.8" hidden="false" customHeight="false" outlineLevel="0" collapsed="false">
      <c r="G698" s="25" t="n">
        <v>44314</v>
      </c>
      <c r="H698" s="43" t="s">
        <v>23</v>
      </c>
      <c r="I698" s="5" t="n">
        <v>-86.78</v>
      </c>
      <c r="J698" s="6" t="s">
        <v>37</v>
      </c>
    </row>
    <row r="699" customFormat="false" ht="12.8" hidden="false" customHeight="false" outlineLevel="0" collapsed="false">
      <c r="G699" s="25" t="n">
        <v>44315</v>
      </c>
      <c r="H699" s="43" t="s">
        <v>23</v>
      </c>
      <c r="I699" s="5" t="n">
        <v>-90.46</v>
      </c>
      <c r="J699" s="6" t="s">
        <v>37</v>
      </c>
    </row>
    <row r="700" customFormat="false" ht="12.8" hidden="false" customHeight="false" outlineLevel="0" collapsed="false">
      <c r="G700" s="25" t="n">
        <v>44316</v>
      </c>
      <c r="H700" s="43" t="s">
        <v>23</v>
      </c>
      <c r="I700" s="5" t="n">
        <v>-11.14</v>
      </c>
      <c r="J700" s="6" t="s">
        <v>905</v>
      </c>
    </row>
    <row r="701" customFormat="false" ht="12.8" hidden="false" customHeight="false" outlineLevel="0" collapsed="false">
      <c r="G701" s="25" t="n">
        <v>44316</v>
      </c>
      <c r="H701" s="466" t="s">
        <v>21</v>
      </c>
      <c r="I701" s="5" t="n">
        <v>11</v>
      </c>
      <c r="J701" s="6" t="s">
        <v>905</v>
      </c>
      <c r="K701" s="468"/>
    </row>
    <row r="702" customFormat="false" ht="12.8" hidden="false" customHeight="false" outlineLevel="0" collapsed="false">
      <c r="G702" s="25" t="n">
        <v>44316</v>
      </c>
      <c r="H702" s="52" t="s">
        <v>14</v>
      </c>
      <c r="I702" s="5" t="n">
        <v>6.79</v>
      </c>
      <c r="J702" s="6" t="s">
        <v>40</v>
      </c>
    </row>
    <row r="703" customFormat="false" ht="12.8" hidden="false" customHeight="false" outlineLevel="0" collapsed="false">
      <c r="G703" s="25" t="n">
        <v>44316</v>
      </c>
      <c r="H703" s="43" t="s">
        <v>23</v>
      </c>
      <c r="I703" s="5" t="n">
        <v>-102.79</v>
      </c>
      <c r="J703" s="6" t="s">
        <v>37</v>
      </c>
    </row>
    <row r="704" customFormat="false" ht="12.8" hidden="false" customHeight="false" outlineLevel="0" collapsed="false">
      <c r="G704" s="25" t="n">
        <v>44317</v>
      </c>
      <c r="H704" s="52" t="s">
        <v>14</v>
      </c>
      <c r="I704" s="5" t="n">
        <v>-10</v>
      </c>
      <c r="J704" s="6" t="s">
        <v>870</v>
      </c>
    </row>
    <row r="705" customFormat="false" ht="12.8" hidden="false" customHeight="false" outlineLevel="0" collapsed="false">
      <c r="G705" s="25" t="n">
        <v>44317</v>
      </c>
      <c r="H705" s="48" t="s">
        <v>26</v>
      </c>
      <c r="I705" s="5" t="n">
        <v>10</v>
      </c>
      <c r="J705" s="6" t="s">
        <v>870</v>
      </c>
    </row>
    <row r="706" customFormat="false" ht="12.8" hidden="false" customHeight="false" outlineLevel="0" collapsed="false">
      <c r="G706" s="25" t="n">
        <v>44317</v>
      </c>
      <c r="H706" s="48" t="s">
        <v>26</v>
      </c>
      <c r="I706" s="5" t="n">
        <v>-5</v>
      </c>
      <c r="J706" s="6" t="s">
        <v>881</v>
      </c>
    </row>
    <row r="707" customFormat="false" ht="12.8" hidden="false" customHeight="false" outlineLevel="0" collapsed="false">
      <c r="G707" s="25" t="n">
        <v>44317</v>
      </c>
      <c r="H707" s="43" t="s">
        <v>23</v>
      </c>
      <c r="I707" s="5" t="n">
        <v>-88.24</v>
      </c>
      <c r="J707" s="6" t="s">
        <v>37</v>
      </c>
    </row>
    <row r="708" customFormat="false" ht="23.95" hidden="false" customHeight="false" outlineLevel="0" collapsed="false">
      <c r="G708" s="25" t="n">
        <v>44317</v>
      </c>
      <c r="H708" s="43" t="s">
        <v>23</v>
      </c>
      <c r="I708" s="5" t="n">
        <v>-60</v>
      </c>
      <c r="J708" s="6" t="s">
        <v>906</v>
      </c>
    </row>
    <row r="709" customFormat="false" ht="12.8" hidden="false" customHeight="false" outlineLevel="0" collapsed="false">
      <c r="G709" s="25" t="n">
        <v>44318</v>
      </c>
      <c r="H709" s="48" t="s">
        <v>26</v>
      </c>
      <c r="I709" s="5" t="n">
        <v>-10</v>
      </c>
      <c r="J709" s="6" t="s">
        <v>846</v>
      </c>
    </row>
    <row r="710" customFormat="false" ht="12.8" hidden="false" customHeight="false" outlineLevel="0" collapsed="false">
      <c r="G710" s="25" t="n">
        <v>44318</v>
      </c>
      <c r="H710" s="38" t="s">
        <v>832</v>
      </c>
      <c r="I710" s="5" t="n">
        <v>-16.53</v>
      </c>
      <c r="J710" s="6" t="s">
        <v>846</v>
      </c>
    </row>
    <row r="711" customFormat="false" ht="12.8" hidden="false" customHeight="false" outlineLevel="0" collapsed="false">
      <c r="G711" s="25" t="n">
        <v>44319</v>
      </c>
      <c r="H711" s="52" t="s">
        <v>14</v>
      </c>
      <c r="I711" s="5" t="n">
        <v>-90</v>
      </c>
      <c r="J711" s="6" t="s">
        <v>480</v>
      </c>
    </row>
    <row r="712" customFormat="false" ht="12.8" hidden="false" customHeight="false" outlineLevel="0" collapsed="false">
      <c r="G712" s="25" t="n">
        <v>44319</v>
      </c>
      <c r="H712" s="48" t="s">
        <v>26</v>
      </c>
      <c r="I712" s="5" t="n">
        <v>90</v>
      </c>
      <c r="J712" s="6" t="s">
        <v>480</v>
      </c>
    </row>
    <row r="713" customFormat="false" ht="12.8" hidden="false" customHeight="false" outlineLevel="0" collapsed="false">
      <c r="G713" s="25" t="n">
        <v>44319</v>
      </c>
      <c r="H713" s="48" t="s">
        <v>26</v>
      </c>
      <c r="I713" s="5" t="n">
        <v>-4</v>
      </c>
      <c r="J713" s="6" t="s">
        <v>907</v>
      </c>
    </row>
    <row r="714" customFormat="false" ht="12.8" hidden="false" customHeight="false" outlineLevel="0" collapsed="false">
      <c r="G714" s="25" t="n">
        <v>44319</v>
      </c>
      <c r="H714" s="38" t="s">
        <v>832</v>
      </c>
      <c r="I714" s="5" t="n">
        <v>4</v>
      </c>
      <c r="J714" s="6" t="s">
        <v>907</v>
      </c>
    </row>
    <row r="715" customFormat="false" ht="12.8" hidden="false" customHeight="false" outlineLevel="0" collapsed="false">
      <c r="G715" s="25" t="n">
        <v>44319</v>
      </c>
      <c r="H715" s="52" t="s">
        <v>14</v>
      </c>
      <c r="I715" s="5" t="n">
        <v>-5</v>
      </c>
      <c r="J715" s="6" t="s">
        <v>480</v>
      </c>
    </row>
    <row r="716" customFormat="false" ht="12.8" hidden="false" customHeight="false" outlineLevel="0" collapsed="false">
      <c r="G716" s="25" t="n">
        <v>44319</v>
      </c>
      <c r="H716" s="48" t="s">
        <v>26</v>
      </c>
      <c r="I716" s="5" t="n">
        <v>5</v>
      </c>
      <c r="J716" s="6" t="s">
        <v>480</v>
      </c>
    </row>
    <row r="717" customFormat="false" ht="12.8" hidden="false" customHeight="false" outlineLevel="0" collapsed="false">
      <c r="G717" s="25" t="n">
        <v>44319</v>
      </c>
      <c r="H717" s="48" t="s">
        <v>26</v>
      </c>
      <c r="I717" s="5" t="n">
        <v>-89.94</v>
      </c>
      <c r="J717" s="6" t="s">
        <v>37</v>
      </c>
    </row>
    <row r="718" customFormat="false" ht="12.8" hidden="false" customHeight="false" outlineLevel="0" collapsed="false">
      <c r="G718" s="25" t="n">
        <v>44320</v>
      </c>
      <c r="H718" s="48" t="s">
        <v>26</v>
      </c>
      <c r="I718" s="5" t="n">
        <v>4409.72</v>
      </c>
      <c r="J718" s="6" t="s">
        <v>908</v>
      </c>
    </row>
    <row r="719" customFormat="false" ht="12.8" hidden="false" customHeight="false" outlineLevel="0" collapsed="false">
      <c r="G719" s="25" t="n">
        <v>44320</v>
      </c>
      <c r="H719" s="48" t="s">
        <v>26</v>
      </c>
      <c r="I719" s="5" t="n">
        <v>-2000</v>
      </c>
      <c r="J719" s="6" t="s">
        <v>146</v>
      </c>
    </row>
    <row r="720" customFormat="false" ht="12.8" hidden="false" customHeight="false" outlineLevel="0" collapsed="false">
      <c r="G720" s="25" t="n">
        <v>44320</v>
      </c>
      <c r="H720" s="48" t="s">
        <v>26</v>
      </c>
      <c r="I720" s="5" t="n">
        <v>-3</v>
      </c>
      <c r="J720" s="6" t="s">
        <v>146</v>
      </c>
    </row>
    <row r="721" customFormat="false" ht="12.8" hidden="false" customHeight="false" outlineLevel="0" collapsed="false">
      <c r="G721" s="25" t="n">
        <v>44320</v>
      </c>
      <c r="H721" s="32" t="s">
        <v>15</v>
      </c>
      <c r="I721" s="5" t="n">
        <v>2000</v>
      </c>
      <c r="J721" s="6" t="s">
        <v>146</v>
      </c>
    </row>
    <row r="722" customFormat="false" ht="12.8" hidden="false" customHeight="false" outlineLevel="0" collapsed="false">
      <c r="G722" s="25" t="n">
        <v>44320</v>
      </c>
      <c r="H722" s="48" t="s">
        <v>26</v>
      </c>
      <c r="I722" s="5" t="n">
        <v>-2311</v>
      </c>
      <c r="J722" s="6" t="s">
        <v>462</v>
      </c>
    </row>
    <row r="723" customFormat="false" ht="12.8" hidden="false" customHeight="false" outlineLevel="0" collapsed="false">
      <c r="G723" s="25" t="n">
        <v>44320</v>
      </c>
      <c r="H723" s="52" t="s">
        <v>14</v>
      </c>
      <c r="I723" s="5" t="n">
        <v>2311</v>
      </c>
      <c r="J723" s="6" t="s">
        <v>462</v>
      </c>
    </row>
    <row r="724" customFormat="false" ht="12.8" hidden="false" customHeight="false" outlineLevel="0" collapsed="false">
      <c r="G724" s="25" t="n">
        <v>44320</v>
      </c>
      <c r="H724" s="48" t="s">
        <v>26</v>
      </c>
      <c r="I724" s="5" t="n">
        <v>-89.64</v>
      </c>
      <c r="J724" s="6" t="s">
        <v>37</v>
      </c>
    </row>
    <row r="725" customFormat="false" ht="12.8" hidden="false" customHeight="false" outlineLevel="0" collapsed="false">
      <c r="G725" s="25" t="n">
        <v>44320</v>
      </c>
      <c r="H725" s="38" t="s">
        <v>832</v>
      </c>
      <c r="I725" s="5" t="n">
        <v>-3.47</v>
      </c>
      <c r="J725" s="6" t="s">
        <v>909</v>
      </c>
    </row>
    <row r="726" customFormat="false" ht="12.8" hidden="false" customHeight="false" outlineLevel="0" collapsed="false">
      <c r="G726" s="25" t="n">
        <v>44320</v>
      </c>
      <c r="H726" s="466" t="s">
        <v>21</v>
      </c>
      <c r="I726" s="5" t="n">
        <v>-15</v>
      </c>
      <c r="J726" s="6" t="s">
        <v>82</v>
      </c>
    </row>
    <row r="727" customFormat="false" ht="12.8" hidden="false" customHeight="false" outlineLevel="0" collapsed="false">
      <c r="G727" s="25" t="n">
        <v>44320</v>
      </c>
      <c r="H727" s="26" t="s">
        <v>10</v>
      </c>
      <c r="I727" s="5" t="n">
        <v>0.12</v>
      </c>
      <c r="J727" s="6" t="s">
        <v>40</v>
      </c>
    </row>
    <row r="728" customFormat="false" ht="12.8" hidden="false" customHeight="false" outlineLevel="0" collapsed="false">
      <c r="G728" s="25" t="n">
        <v>44321</v>
      </c>
      <c r="H728" s="32" t="s">
        <v>15</v>
      </c>
      <c r="I728" s="5" t="n">
        <v>-2001.88</v>
      </c>
      <c r="J728" s="6" t="s">
        <v>56</v>
      </c>
    </row>
    <row r="729" customFormat="false" ht="12.8" hidden="false" customHeight="false" outlineLevel="0" collapsed="false">
      <c r="G729" s="25" t="n">
        <v>44321</v>
      </c>
      <c r="H729" s="26" t="s">
        <v>10</v>
      </c>
      <c r="I729" s="5" t="n">
        <v>2001.88</v>
      </c>
      <c r="J729" s="6" t="s">
        <v>56</v>
      </c>
    </row>
    <row r="730" customFormat="false" ht="12.8" hidden="false" customHeight="false" outlineLevel="0" collapsed="false">
      <c r="G730" s="25" t="n">
        <v>44321</v>
      </c>
      <c r="H730" s="43" t="s">
        <v>23</v>
      </c>
      <c r="I730" s="5" t="n">
        <v>-90.24</v>
      </c>
      <c r="J730" s="6" t="s">
        <v>37</v>
      </c>
    </row>
    <row r="731" customFormat="false" ht="12.8" hidden="false" customHeight="false" outlineLevel="0" collapsed="false">
      <c r="G731" s="25" t="n">
        <v>44322</v>
      </c>
      <c r="H731" s="26" t="s">
        <v>10</v>
      </c>
      <c r="I731" s="5" t="n">
        <v>-90</v>
      </c>
      <c r="J731" s="6" t="s">
        <v>480</v>
      </c>
    </row>
    <row r="732" customFormat="false" ht="12.8" hidden="false" customHeight="false" outlineLevel="0" collapsed="false">
      <c r="G732" s="25" t="n">
        <v>44322</v>
      </c>
      <c r="H732" s="32" t="s">
        <v>15</v>
      </c>
      <c r="I732" s="5" t="n">
        <v>90</v>
      </c>
      <c r="J732" s="6" t="s">
        <v>38</v>
      </c>
    </row>
    <row r="733" customFormat="false" ht="12.8" hidden="false" customHeight="false" outlineLevel="0" collapsed="false">
      <c r="G733" s="25" t="n">
        <v>44322</v>
      </c>
      <c r="H733" s="32" t="s">
        <v>15</v>
      </c>
      <c r="I733" s="5" t="n">
        <v>-84.91</v>
      </c>
      <c r="J733" s="6" t="s">
        <v>37</v>
      </c>
    </row>
    <row r="734" customFormat="false" ht="12.8" hidden="false" customHeight="false" outlineLevel="0" collapsed="false">
      <c r="G734" s="25" t="n">
        <v>44322</v>
      </c>
      <c r="H734" s="26" t="s">
        <v>10</v>
      </c>
      <c r="I734" s="5" t="n">
        <v>-615</v>
      </c>
      <c r="J734" s="6" t="s">
        <v>480</v>
      </c>
    </row>
    <row r="735" customFormat="false" ht="12.8" hidden="false" customHeight="false" outlineLevel="0" collapsed="false">
      <c r="G735" s="25" t="n">
        <v>44323</v>
      </c>
      <c r="H735" s="32" t="s">
        <v>15</v>
      </c>
      <c r="I735" s="5" t="n">
        <v>615</v>
      </c>
      <c r="J735" s="6" t="s">
        <v>38</v>
      </c>
    </row>
    <row r="736" customFormat="false" ht="12.8" hidden="false" customHeight="false" outlineLevel="0" collapsed="false">
      <c r="G736" s="25" t="n">
        <v>44323</v>
      </c>
      <c r="H736" s="32" t="s">
        <v>15</v>
      </c>
      <c r="I736" s="5" t="n">
        <v>-620</v>
      </c>
      <c r="J736" s="6" t="s">
        <v>910</v>
      </c>
    </row>
    <row r="737" customFormat="false" ht="12.8" hidden="false" customHeight="false" outlineLevel="0" collapsed="false">
      <c r="G737" s="25" t="n">
        <v>44323</v>
      </c>
      <c r="H737" s="52" t="s">
        <v>14</v>
      </c>
      <c r="I737" s="5" t="n">
        <v>-90</v>
      </c>
      <c r="J737" s="6" t="s">
        <v>480</v>
      </c>
    </row>
    <row r="738" customFormat="false" ht="12.8" hidden="false" customHeight="false" outlineLevel="0" collapsed="false">
      <c r="G738" s="25" t="n">
        <v>44323</v>
      </c>
      <c r="H738" s="48" t="s">
        <v>26</v>
      </c>
      <c r="I738" s="5" t="n">
        <v>90</v>
      </c>
      <c r="J738" s="6" t="s">
        <v>480</v>
      </c>
    </row>
    <row r="739" customFormat="false" ht="12.8" hidden="false" customHeight="false" outlineLevel="0" collapsed="false">
      <c r="G739" s="25" t="n">
        <v>44323</v>
      </c>
      <c r="H739" s="48" t="s">
        <v>26</v>
      </c>
      <c r="I739" s="5" t="n">
        <v>-85.55</v>
      </c>
      <c r="J739" s="6" t="s">
        <v>37</v>
      </c>
    </row>
    <row r="740" customFormat="false" ht="12.8" hidden="false" customHeight="false" outlineLevel="0" collapsed="false">
      <c r="G740" s="25" t="n">
        <v>44323</v>
      </c>
      <c r="H740" s="52" t="s">
        <v>14</v>
      </c>
      <c r="I740" s="5" t="n">
        <v>-50</v>
      </c>
      <c r="J740" s="6" t="s">
        <v>480</v>
      </c>
    </row>
    <row r="741" customFormat="false" ht="12.8" hidden="false" customHeight="false" outlineLevel="0" collapsed="false">
      <c r="G741" s="25" t="n">
        <v>44323</v>
      </c>
      <c r="H741" s="48" t="s">
        <v>26</v>
      </c>
      <c r="I741" s="5" t="n">
        <v>50</v>
      </c>
      <c r="J741" s="6" t="s">
        <v>480</v>
      </c>
    </row>
    <row r="742" customFormat="false" ht="12.8" hidden="false" customHeight="false" outlineLevel="0" collapsed="false">
      <c r="G742" s="25" t="n">
        <v>44323</v>
      </c>
      <c r="H742" s="48" t="s">
        <v>26</v>
      </c>
      <c r="I742" s="5" t="n">
        <v>-60</v>
      </c>
      <c r="J742" s="6" t="s">
        <v>37</v>
      </c>
    </row>
    <row r="743" customFormat="false" ht="12.8" hidden="false" customHeight="false" outlineLevel="0" collapsed="false">
      <c r="G743" s="25" t="n">
        <v>44324</v>
      </c>
      <c r="H743" s="52" t="s">
        <v>14</v>
      </c>
      <c r="I743" s="5" t="n">
        <v>-96</v>
      </c>
      <c r="J743" s="6" t="s">
        <v>480</v>
      </c>
    </row>
    <row r="744" customFormat="false" ht="12.8" hidden="false" customHeight="false" outlineLevel="0" collapsed="false">
      <c r="G744" s="25" t="n">
        <v>44324</v>
      </c>
      <c r="H744" s="48" t="s">
        <v>26</v>
      </c>
      <c r="I744" s="5" t="n">
        <v>96</v>
      </c>
      <c r="J744" s="6" t="s">
        <v>480</v>
      </c>
    </row>
    <row r="745" customFormat="false" ht="12.8" hidden="false" customHeight="false" outlineLevel="0" collapsed="false">
      <c r="G745" s="25" t="n">
        <v>44324</v>
      </c>
      <c r="H745" s="48" t="s">
        <v>26</v>
      </c>
      <c r="I745" s="5" t="n">
        <v>-68.93</v>
      </c>
      <c r="J745" s="6" t="s">
        <v>37</v>
      </c>
    </row>
    <row r="746" customFormat="false" ht="12.8" hidden="false" customHeight="false" outlineLevel="0" collapsed="false">
      <c r="G746" s="25" t="n">
        <v>44324</v>
      </c>
      <c r="H746" s="48" t="s">
        <v>26</v>
      </c>
      <c r="I746" s="5" t="n">
        <v>-16.27</v>
      </c>
      <c r="J746" s="6" t="s">
        <v>852</v>
      </c>
    </row>
    <row r="747" customFormat="false" ht="12.8" hidden="false" customHeight="false" outlineLevel="0" collapsed="false">
      <c r="G747" s="25" t="n">
        <v>44325</v>
      </c>
      <c r="H747" s="52" t="s">
        <v>14</v>
      </c>
      <c r="I747" s="5" t="n">
        <v>-80</v>
      </c>
      <c r="J747" s="6" t="s">
        <v>480</v>
      </c>
    </row>
    <row r="748" customFormat="false" ht="12.8" hidden="false" customHeight="false" outlineLevel="0" collapsed="false">
      <c r="G748" s="25" t="n">
        <v>44325</v>
      </c>
      <c r="H748" s="48" t="s">
        <v>26</v>
      </c>
      <c r="I748" s="5" t="n">
        <v>80</v>
      </c>
      <c r="J748" s="6" t="s">
        <v>480</v>
      </c>
    </row>
    <row r="749" customFormat="false" ht="12.8" hidden="false" customHeight="false" outlineLevel="0" collapsed="false">
      <c r="G749" s="25" t="n">
        <v>44325</v>
      </c>
      <c r="H749" s="48" t="s">
        <v>26</v>
      </c>
      <c r="I749" s="5" t="n">
        <v>-85.37</v>
      </c>
      <c r="J749" s="6" t="s">
        <v>37</v>
      </c>
    </row>
    <row r="750" customFormat="false" ht="12.8" hidden="false" customHeight="false" outlineLevel="0" collapsed="false">
      <c r="G750" s="25" t="n">
        <v>44326</v>
      </c>
      <c r="H750" s="52" t="s">
        <v>14</v>
      </c>
      <c r="I750" s="5" t="n">
        <v>-80</v>
      </c>
      <c r="J750" s="6" t="s">
        <v>480</v>
      </c>
    </row>
    <row r="751" customFormat="false" ht="12.8" hidden="false" customHeight="false" outlineLevel="0" collapsed="false">
      <c r="G751" s="25" t="n">
        <v>44326</v>
      </c>
      <c r="H751" s="48" t="s">
        <v>26</v>
      </c>
      <c r="I751" s="5" t="n">
        <v>80</v>
      </c>
      <c r="J751" s="6" t="s">
        <v>480</v>
      </c>
    </row>
    <row r="752" customFormat="false" ht="12.8" hidden="false" customHeight="false" outlineLevel="0" collapsed="false">
      <c r="G752" s="25" t="n">
        <v>44326</v>
      </c>
      <c r="H752" s="48" t="s">
        <v>26</v>
      </c>
      <c r="I752" s="5" t="n">
        <v>-74.72</v>
      </c>
      <c r="J752" s="6" t="s">
        <v>37</v>
      </c>
    </row>
    <row r="753" customFormat="false" ht="12.8" hidden="false" customHeight="false" outlineLevel="0" collapsed="false">
      <c r="G753" s="25" t="n">
        <v>44327</v>
      </c>
      <c r="H753" s="52" t="s">
        <v>14</v>
      </c>
      <c r="I753" s="5" t="n">
        <v>-75</v>
      </c>
      <c r="J753" s="6" t="s">
        <v>480</v>
      </c>
    </row>
    <row r="754" customFormat="false" ht="12.8" hidden="false" customHeight="false" outlineLevel="0" collapsed="false">
      <c r="G754" s="25" t="n">
        <v>44327</v>
      </c>
      <c r="H754" s="48" t="s">
        <v>26</v>
      </c>
      <c r="I754" s="5" t="n">
        <v>75</v>
      </c>
      <c r="J754" s="6" t="s">
        <v>480</v>
      </c>
    </row>
    <row r="755" customFormat="false" ht="12.8" hidden="false" customHeight="false" outlineLevel="0" collapsed="false">
      <c r="G755" s="25" t="n">
        <v>44327</v>
      </c>
      <c r="H755" s="48" t="s">
        <v>26</v>
      </c>
      <c r="I755" s="5" t="n">
        <v>-86.48</v>
      </c>
      <c r="J755" s="6" t="s">
        <v>37</v>
      </c>
    </row>
    <row r="756" customFormat="false" ht="12.8" hidden="false" customHeight="false" outlineLevel="0" collapsed="false">
      <c r="G756" s="25" t="n">
        <v>44327</v>
      </c>
      <c r="H756" s="26" t="s">
        <v>10</v>
      </c>
      <c r="I756" s="5" t="n">
        <v>-61</v>
      </c>
      <c r="J756" s="6" t="s">
        <v>38</v>
      </c>
    </row>
    <row r="757" customFormat="false" ht="12.8" hidden="false" customHeight="false" outlineLevel="0" collapsed="false">
      <c r="G757" s="25" t="n">
        <v>44327</v>
      </c>
      <c r="H757" s="32" t="s">
        <v>15</v>
      </c>
      <c r="I757" s="5" t="n">
        <v>61</v>
      </c>
      <c r="J757" s="6" t="s">
        <v>38</v>
      </c>
    </row>
    <row r="758" customFormat="false" ht="12.8" hidden="false" customHeight="false" outlineLevel="0" collapsed="false">
      <c r="G758" s="25" t="n">
        <v>44327</v>
      </c>
      <c r="H758" s="32" t="s">
        <v>15</v>
      </c>
      <c r="I758" s="5" t="n">
        <v>-60</v>
      </c>
      <c r="J758" s="6" t="s">
        <v>37</v>
      </c>
    </row>
    <row r="759" customFormat="false" ht="12.8" hidden="false" customHeight="false" outlineLevel="0" collapsed="false">
      <c r="G759" s="25" t="n">
        <v>44328</v>
      </c>
      <c r="H759" s="26" t="s">
        <v>10</v>
      </c>
      <c r="I759" s="5" t="n">
        <v>-90</v>
      </c>
      <c r="J759" s="6" t="s">
        <v>38</v>
      </c>
      <c r="K759" s="467"/>
    </row>
    <row r="760" customFormat="false" ht="12.8" hidden="false" customHeight="false" outlineLevel="0" collapsed="false">
      <c r="G760" s="25" t="n">
        <v>44328</v>
      </c>
      <c r="H760" s="32" t="s">
        <v>15</v>
      </c>
      <c r="I760" s="5" t="n">
        <v>90</v>
      </c>
      <c r="J760" s="6" t="s">
        <v>38</v>
      </c>
    </row>
    <row r="761" customFormat="false" ht="12.8" hidden="false" customHeight="false" outlineLevel="0" collapsed="false">
      <c r="G761" s="25" t="n">
        <v>44328</v>
      </c>
      <c r="H761" s="32" t="s">
        <v>15</v>
      </c>
      <c r="I761" s="5" t="n">
        <v>-90.11</v>
      </c>
      <c r="J761" s="6" t="s">
        <v>37</v>
      </c>
    </row>
    <row r="762" customFormat="false" ht="12.8" hidden="false" customHeight="false" outlineLevel="0" collapsed="false">
      <c r="G762" s="25" t="n">
        <v>44329</v>
      </c>
      <c r="H762" s="26" t="s">
        <v>10</v>
      </c>
      <c r="I762" s="5" t="n">
        <v>-139</v>
      </c>
      <c r="J762" s="6" t="s">
        <v>38</v>
      </c>
      <c r="K762" s="467"/>
    </row>
    <row r="763" customFormat="false" ht="12.8" hidden="false" customHeight="false" outlineLevel="0" collapsed="false">
      <c r="G763" s="25" t="n">
        <v>44329</v>
      </c>
      <c r="H763" s="32" t="s">
        <v>15</v>
      </c>
      <c r="I763" s="5" t="n">
        <v>139</v>
      </c>
      <c r="J763" s="6" t="s">
        <v>38</v>
      </c>
    </row>
    <row r="764" customFormat="false" ht="12.8" hidden="false" customHeight="false" outlineLevel="0" collapsed="false">
      <c r="G764" s="25" t="n">
        <v>44329</v>
      </c>
      <c r="H764" s="32" t="s">
        <v>15</v>
      </c>
      <c r="I764" s="5" t="n">
        <v>-97.22</v>
      </c>
      <c r="J764" s="6" t="s">
        <v>37</v>
      </c>
    </row>
    <row r="765" customFormat="false" ht="12.8" hidden="false" customHeight="false" outlineLevel="0" collapsed="false">
      <c r="G765" s="25" t="n">
        <v>44329</v>
      </c>
      <c r="H765" s="32" t="s">
        <v>15</v>
      </c>
      <c r="I765" s="5" t="n">
        <v>-14.79</v>
      </c>
      <c r="J765" s="6" t="s">
        <v>852</v>
      </c>
    </row>
    <row r="766" customFormat="false" ht="12.8" hidden="false" customHeight="false" outlineLevel="0" collapsed="false">
      <c r="G766" s="25" t="n">
        <v>44330</v>
      </c>
      <c r="H766" s="26" t="s">
        <v>10</v>
      </c>
      <c r="I766" s="5" t="n">
        <v>-122</v>
      </c>
      <c r="J766" s="6" t="s">
        <v>38</v>
      </c>
    </row>
    <row r="767" customFormat="false" ht="12.8" hidden="false" customHeight="false" outlineLevel="0" collapsed="false">
      <c r="G767" s="25" t="n">
        <v>44330</v>
      </c>
      <c r="H767" s="32" t="s">
        <v>15</v>
      </c>
      <c r="I767" s="5" t="n">
        <v>122</v>
      </c>
      <c r="J767" s="6" t="s">
        <v>38</v>
      </c>
    </row>
    <row r="768" customFormat="false" ht="12.8" hidden="false" customHeight="false" outlineLevel="0" collapsed="false">
      <c r="G768" s="25" t="n">
        <v>44330</v>
      </c>
      <c r="H768" s="32" t="s">
        <v>15</v>
      </c>
      <c r="I768" s="5" t="n">
        <v>-131.93</v>
      </c>
      <c r="J768" s="6" t="s">
        <v>37</v>
      </c>
    </row>
    <row r="769" customFormat="false" ht="12.8" hidden="false" customHeight="false" outlineLevel="0" collapsed="false">
      <c r="G769" s="25" t="n">
        <v>44330</v>
      </c>
      <c r="H769" s="43" t="s">
        <v>23</v>
      </c>
      <c r="I769" s="5" t="n">
        <v>1381</v>
      </c>
      <c r="J769" s="6" t="s">
        <v>249</v>
      </c>
    </row>
    <row r="770" customFormat="false" ht="12.8" hidden="false" customHeight="false" outlineLevel="0" collapsed="false">
      <c r="G770" s="25" t="n">
        <v>44330</v>
      </c>
      <c r="H770" s="32" t="s">
        <v>15</v>
      </c>
      <c r="I770" s="5" t="n">
        <v>-18</v>
      </c>
      <c r="J770" s="6" t="s">
        <v>462</v>
      </c>
    </row>
    <row r="771" customFormat="false" ht="12.8" hidden="false" customHeight="false" outlineLevel="0" collapsed="false">
      <c r="G771" s="25" t="n">
        <v>44330</v>
      </c>
      <c r="H771" s="26" t="s">
        <v>10</v>
      </c>
      <c r="I771" s="5" t="n">
        <v>18</v>
      </c>
      <c r="J771" s="6" t="s">
        <v>462</v>
      </c>
    </row>
    <row r="772" customFormat="false" ht="12.8" hidden="false" customHeight="false" outlineLevel="0" collapsed="false">
      <c r="G772" s="25" t="n">
        <v>44330</v>
      </c>
      <c r="H772" s="43" t="s">
        <v>23</v>
      </c>
      <c r="I772" s="5" t="n">
        <v>-150</v>
      </c>
      <c r="J772" s="6" t="s">
        <v>868</v>
      </c>
    </row>
    <row r="773" customFormat="false" ht="12.8" hidden="false" customHeight="false" outlineLevel="0" collapsed="false">
      <c r="G773" s="25" t="n">
        <v>44331</v>
      </c>
      <c r="H773" s="43" t="s">
        <v>23</v>
      </c>
      <c r="I773" s="5" t="n">
        <v>-74.42</v>
      </c>
      <c r="J773" s="6" t="s">
        <v>37</v>
      </c>
    </row>
    <row r="774" customFormat="false" ht="12.8" hidden="false" customHeight="false" outlineLevel="0" collapsed="false">
      <c r="G774" s="25" t="n">
        <v>44332</v>
      </c>
      <c r="H774" s="43" t="s">
        <v>23</v>
      </c>
      <c r="I774" s="5" t="n">
        <v>-85.36</v>
      </c>
      <c r="J774" s="6" t="s">
        <v>37</v>
      </c>
    </row>
    <row r="775" customFormat="false" ht="12.8" hidden="false" customHeight="false" outlineLevel="0" collapsed="false">
      <c r="G775" s="25" t="n">
        <v>44332</v>
      </c>
      <c r="H775" s="43" t="s">
        <v>23</v>
      </c>
      <c r="I775" s="5" t="n">
        <v>-8.25</v>
      </c>
      <c r="J775" s="6" t="s">
        <v>911</v>
      </c>
    </row>
    <row r="776" customFormat="false" ht="12.8" hidden="false" customHeight="false" outlineLevel="0" collapsed="false">
      <c r="G776" s="25" t="n">
        <v>44333</v>
      </c>
      <c r="H776" s="43" t="s">
        <v>23</v>
      </c>
      <c r="I776" s="5" t="n">
        <v>-109.1</v>
      </c>
      <c r="J776" s="6" t="s">
        <v>37</v>
      </c>
    </row>
    <row r="777" customFormat="false" ht="12.8" hidden="false" customHeight="false" outlineLevel="0" collapsed="false">
      <c r="G777" s="25" t="n">
        <v>44333</v>
      </c>
      <c r="H777" s="43" t="s">
        <v>23</v>
      </c>
      <c r="I777" s="5" t="n">
        <v>-26.96</v>
      </c>
      <c r="J777" s="6" t="s">
        <v>841</v>
      </c>
    </row>
    <row r="778" customFormat="false" ht="12.8" hidden="false" customHeight="false" outlineLevel="0" collapsed="false">
      <c r="G778" s="25" t="n">
        <v>44333</v>
      </c>
      <c r="H778" s="43" t="s">
        <v>23</v>
      </c>
      <c r="I778" s="5" t="n">
        <v>500</v>
      </c>
      <c r="J778" s="6" t="s">
        <v>912</v>
      </c>
    </row>
    <row r="779" customFormat="false" ht="12.8" hidden="false" customHeight="false" outlineLevel="0" collapsed="false">
      <c r="G779" s="25" t="n">
        <v>44334</v>
      </c>
      <c r="H779" s="43" t="s">
        <v>23</v>
      </c>
      <c r="I779" s="5" t="n">
        <v>-88.9</v>
      </c>
      <c r="J779" s="6" t="s">
        <v>37</v>
      </c>
    </row>
    <row r="780" customFormat="false" ht="12.8" hidden="false" customHeight="false" outlineLevel="0" collapsed="false">
      <c r="G780" s="25" t="n">
        <v>44335</v>
      </c>
      <c r="H780" s="43" t="s">
        <v>23</v>
      </c>
      <c r="I780" s="5" t="n">
        <v>-87.91</v>
      </c>
      <c r="J780" s="6" t="s">
        <v>37</v>
      </c>
    </row>
    <row r="781" customFormat="false" ht="12.8" hidden="false" customHeight="false" outlineLevel="0" collapsed="false">
      <c r="G781" s="25" t="n">
        <v>44335</v>
      </c>
      <c r="H781" s="43" t="s">
        <v>23</v>
      </c>
      <c r="I781" s="5" t="n">
        <v>-30.59</v>
      </c>
      <c r="J781" s="6" t="s">
        <v>841</v>
      </c>
    </row>
    <row r="782" customFormat="false" ht="12.8" hidden="false" customHeight="false" outlineLevel="0" collapsed="false">
      <c r="G782" s="25" t="n">
        <v>44336</v>
      </c>
      <c r="H782" s="43" t="s">
        <v>23</v>
      </c>
      <c r="I782" s="5" t="n">
        <v>-83.73</v>
      </c>
      <c r="J782" s="6" t="s">
        <v>37</v>
      </c>
    </row>
    <row r="783" customFormat="false" ht="12.8" hidden="false" customHeight="false" outlineLevel="0" collapsed="false">
      <c r="G783" s="25" t="n">
        <v>44337</v>
      </c>
      <c r="H783" s="26" t="s">
        <v>10</v>
      </c>
      <c r="I783" s="5" t="n">
        <v>-155</v>
      </c>
      <c r="J783" s="6" t="s">
        <v>38</v>
      </c>
    </row>
    <row r="784" customFormat="false" ht="12.8" hidden="false" customHeight="false" outlineLevel="0" collapsed="false">
      <c r="G784" s="25" t="n">
        <v>44337</v>
      </c>
      <c r="H784" s="32" t="s">
        <v>15</v>
      </c>
      <c r="I784" s="5" t="n">
        <v>155</v>
      </c>
      <c r="J784" s="6" t="s">
        <v>38</v>
      </c>
    </row>
    <row r="785" customFormat="false" ht="12.8" hidden="false" customHeight="false" outlineLevel="0" collapsed="false">
      <c r="G785" s="25" t="n">
        <v>44337</v>
      </c>
      <c r="H785" s="32" t="s">
        <v>15</v>
      </c>
      <c r="I785" s="5" t="n">
        <v>-152.72</v>
      </c>
      <c r="J785" s="6" t="s">
        <v>913</v>
      </c>
    </row>
    <row r="786" customFormat="false" ht="12.8" hidden="false" customHeight="false" outlineLevel="0" collapsed="false">
      <c r="G786" s="25" t="n">
        <v>44337</v>
      </c>
      <c r="H786" s="43" t="s">
        <v>23</v>
      </c>
      <c r="I786" s="5" t="n">
        <v>-99.41</v>
      </c>
      <c r="J786" s="6" t="s">
        <v>37</v>
      </c>
    </row>
    <row r="787" customFormat="false" ht="12.8" hidden="false" customHeight="false" outlineLevel="0" collapsed="false">
      <c r="G787" s="25" t="n">
        <v>44338</v>
      </c>
      <c r="H787" s="43" t="s">
        <v>23</v>
      </c>
      <c r="I787" s="5" t="n">
        <v>-51.63</v>
      </c>
      <c r="J787" s="6" t="s">
        <v>37</v>
      </c>
    </row>
    <row r="788" customFormat="false" ht="12.8" hidden="false" customHeight="false" outlineLevel="0" collapsed="false">
      <c r="G788" s="25" t="n">
        <v>44338</v>
      </c>
      <c r="H788" s="43" t="s">
        <v>23</v>
      </c>
      <c r="I788" s="5" t="n">
        <v>-40</v>
      </c>
      <c r="J788" s="6" t="s">
        <v>37</v>
      </c>
    </row>
    <row r="789" customFormat="false" ht="12.8" hidden="false" customHeight="false" outlineLevel="0" collapsed="false">
      <c r="G789" s="25" t="n">
        <v>44339</v>
      </c>
      <c r="H789" s="43" t="s">
        <v>23</v>
      </c>
      <c r="I789" s="5" t="n">
        <v>-15</v>
      </c>
      <c r="J789" s="6" t="s">
        <v>914</v>
      </c>
    </row>
    <row r="790" customFormat="false" ht="12.8" hidden="false" customHeight="false" outlineLevel="0" collapsed="false">
      <c r="G790" s="25" t="n">
        <v>44339</v>
      </c>
      <c r="H790" s="466" t="s">
        <v>21</v>
      </c>
      <c r="I790" s="5" t="n">
        <v>15</v>
      </c>
      <c r="J790" s="6" t="s">
        <v>914</v>
      </c>
    </row>
    <row r="791" customFormat="false" ht="12.8" hidden="false" customHeight="false" outlineLevel="0" collapsed="false">
      <c r="G791" s="25" t="n">
        <v>44339</v>
      </c>
      <c r="H791" s="43" t="s">
        <v>23</v>
      </c>
      <c r="I791" s="5" t="n">
        <v>-135.51</v>
      </c>
      <c r="J791" s="6" t="s">
        <v>37</v>
      </c>
    </row>
    <row r="792" customFormat="false" ht="12.8" hidden="false" customHeight="false" outlineLevel="0" collapsed="false">
      <c r="G792" s="25" t="n">
        <v>44340</v>
      </c>
      <c r="H792" s="26" t="s">
        <v>10</v>
      </c>
      <c r="I792" s="5" t="n">
        <v>-200</v>
      </c>
      <c r="J792" s="6" t="s">
        <v>915</v>
      </c>
    </row>
    <row r="793" customFormat="false" ht="12.8" hidden="false" customHeight="false" outlineLevel="0" collapsed="false">
      <c r="G793" s="25" t="n">
        <v>44340</v>
      </c>
      <c r="H793" s="32" t="s">
        <v>15</v>
      </c>
      <c r="I793" s="5" t="n">
        <v>200</v>
      </c>
      <c r="J793" s="6" t="s">
        <v>38</v>
      </c>
    </row>
    <row r="794" customFormat="false" ht="12.8" hidden="false" customHeight="false" outlineLevel="0" collapsed="false">
      <c r="G794" s="25" t="n">
        <v>44340</v>
      </c>
      <c r="H794" s="52" t="s">
        <v>14</v>
      </c>
      <c r="I794" s="5" t="n">
        <v>-2500</v>
      </c>
      <c r="J794" s="6" t="s">
        <v>916</v>
      </c>
    </row>
    <row r="795" customFormat="false" ht="12.8" hidden="false" customHeight="false" outlineLevel="0" collapsed="false">
      <c r="G795" s="25" t="n">
        <v>44340</v>
      </c>
      <c r="H795" s="48" t="s">
        <v>26</v>
      </c>
      <c r="I795" s="5" t="n">
        <v>2500</v>
      </c>
      <c r="J795" s="6" t="s">
        <v>480</v>
      </c>
    </row>
    <row r="796" customFormat="false" ht="27.5" hidden="false" customHeight="true" outlineLevel="0" collapsed="false">
      <c r="G796" s="25" t="n">
        <v>44340</v>
      </c>
      <c r="H796" s="48" t="s">
        <v>26</v>
      </c>
      <c r="I796" s="5" t="n">
        <v>-1650</v>
      </c>
      <c r="J796" s="469" t="s">
        <v>917</v>
      </c>
    </row>
    <row r="797" customFormat="false" ht="12.8" hidden="false" customHeight="false" outlineLevel="0" collapsed="false">
      <c r="G797" s="25" t="n">
        <v>44340</v>
      </c>
      <c r="H797" s="48" t="s">
        <v>26</v>
      </c>
      <c r="I797" s="5" t="n">
        <v>-136.28</v>
      </c>
      <c r="J797" s="6" t="s">
        <v>918</v>
      </c>
    </row>
    <row r="798" customFormat="false" ht="12.8" hidden="false" customHeight="false" outlineLevel="0" collapsed="false">
      <c r="G798" s="25" t="n">
        <v>44340</v>
      </c>
      <c r="H798" s="48" t="s">
        <v>26</v>
      </c>
      <c r="I798" s="5" t="n">
        <v>-404.71</v>
      </c>
      <c r="J798" s="6" t="s">
        <v>919</v>
      </c>
    </row>
    <row r="799" customFormat="false" ht="12.8" hidden="false" customHeight="false" outlineLevel="0" collapsed="false">
      <c r="G799" s="25" t="n">
        <v>44340</v>
      </c>
      <c r="H799" s="48" t="s">
        <v>26</v>
      </c>
      <c r="I799" s="5" t="n">
        <v>-93.57</v>
      </c>
      <c r="J799" s="6" t="s">
        <v>53</v>
      </c>
    </row>
    <row r="800" customFormat="false" ht="12.8" hidden="false" customHeight="false" outlineLevel="0" collapsed="false">
      <c r="G800" s="25" t="n">
        <v>44340</v>
      </c>
      <c r="H800" s="48" t="s">
        <v>26</v>
      </c>
      <c r="I800" s="5" t="n">
        <v>-65</v>
      </c>
      <c r="J800" s="6" t="s">
        <v>920</v>
      </c>
    </row>
    <row r="801" customFormat="false" ht="12.8" hidden="false" customHeight="false" outlineLevel="0" collapsed="false">
      <c r="G801" s="25" t="n">
        <v>44340</v>
      </c>
      <c r="H801" s="48" t="s">
        <v>26</v>
      </c>
      <c r="I801" s="5" t="n">
        <v>-104</v>
      </c>
      <c r="J801" s="6" t="s">
        <v>462</v>
      </c>
    </row>
    <row r="802" customFormat="false" ht="12.8" hidden="false" customHeight="false" outlineLevel="0" collapsed="false">
      <c r="G802" s="25" t="n">
        <v>44340</v>
      </c>
      <c r="H802" s="52" t="s">
        <v>14</v>
      </c>
      <c r="I802" s="5" t="n">
        <v>104</v>
      </c>
      <c r="J802" s="6" t="s">
        <v>462</v>
      </c>
    </row>
    <row r="803" customFormat="false" ht="12.8" hidden="false" customHeight="false" outlineLevel="0" collapsed="false">
      <c r="G803" s="25" t="n">
        <v>44340</v>
      </c>
      <c r="H803" s="43" t="s">
        <v>23</v>
      </c>
      <c r="I803" s="5" t="n">
        <v>-57.95</v>
      </c>
      <c r="J803" s="6" t="s">
        <v>37</v>
      </c>
      <c r="K803" s="468"/>
    </row>
    <row r="804" customFormat="false" ht="12.8" hidden="false" customHeight="false" outlineLevel="0" collapsed="false">
      <c r="G804" s="25" t="n">
        <v>44341</v>
      </c>
      <c r="H804" s="32" t="s">
        <v>15</v>
      </c>
      <c r="I804" s="5" t="n">
        <v>-200</v>
      </c>
      <c r="J804" s="6" t="s">
        <v>904</v>
      </c>
    </row>
    <row r="805" customFormat="false" ht="12.8" hidden="false" customHeight="false" outlineLevel="0" collapsed="false">
      <c r="G805" s="25" t="n">
        <v>44341</v>
      </c>
      <c r="H805" s="26" t="s">
        <v>10</v>
      </c>
      <c r="I805" s="5" t="n">
        <v>-148</v>
      </c>
      <c r="J805" s="6" t="s">
        <v>921</v>
      </c>
    </row>
    <row r="806" customFormat="false" ht="12.8" hidden="false" customHeight="false" outlineLevel="0" collapsed="false">
      <c r="G806" s="25" t="n">
        <v>44341</v>
      </c>
      <c r="H806" s="32" t="s">
        <v>15</v>
      </c>
      <c r="I806" s="5" t="n">
        <v>148</v>
      </c>
      <c r="J806" s="6" t="s">
        <v>921</v>
      </c>
    </row>
    <row r="807" customFormat="false" ht="12.8" hidden="false" customHeight="false" outlineLevel="0" collapsed="false">
      <c r="G807" s="25" t="n">
        <v>44341</v>
      </c>
      <c r="H807" s="43" t="s">
        <v>23</v>
      </c>
      <c r="I807" s="5" t="n">
        <v>-92.97</v>
      </c>
      <c r="J807" s="6" t="s">
        <v>37</v>
      </c>
    </row>
    <row r="808" customFormat="false" ht="12.8" hidden="false" customHeight="false" outlineLevel="0" collapsed="false">
      <c r="G808" s="25" t="n">
        <v>44341</v>
      </c>
      <c r="H808" s="43" t="s">
        <v>23</v>
      </c>
      <c r="I808" s="5" t="n">
        <v>-150</v>
      </c>
      <c r="J808" s="6" t="s">
        <v>868</v>
      </c>
    </row>
    <row r="809" customFormat="false" ht="12.8" hidden="false" customHeight="false" outlineLevel="0" collapsed="false">
      <c r="G809" s="25" t="n">
        <v>44341</v>
      </c>
      <c r="H809" s="43" t="s">
        <v>23</v>
      </c>
      <c r="I809" s="5" t="n">
        <v>-8.25</v>
      </c>
      <c r="J809" s="6" t="s">
        <v>922</v>
      </c>
    </row>
    <row r="810" customFormat="false" ht="12.8" hidden="false" customHeight="false" outlineLevel="0" collapsed="false">
      <c r="G810" s="25" t="n">
        <v>44341</v>
      </c>
      <c r="H810" s="32" t="s">
        <v>15</v>
      </c>
      <c r="I810" s="5" t="n">
        <v>-150</v>
      </c>
      <c r="J810" s="462" t="s">
        <v>462</v>
      </c>
    </row>
    <row r="811" customFormat="false" ht="12.8" hidden="false" customHeight="false" outlineLevel="0" collapsed="false">
      <c r="G811" s="25" t="n">
        <v>44341</v>
      </c>
      <c r="H811" s="26" t="s">
        <v>10</v>
      </c>
      <c r="I811" s="5" t="n">
        <v>150</v>
      </c>
      <c r="J811" s="462" t="s">
        <v>462</v>
      </c>
    </row>
    <row r="812" customFormat="false" ht="12.8" hidden="false" customHeight="false" outlineLevel="0" collapsed="false">
      <c r="G812" s="25" t="n">
        <v>44342</v>
      </c>
      <c r="H812" s="43" t="s">
        <v>23</v>
      </c>
      <c r="I812" s="5" t="n">
        <v>-102.47</v>
      </c>
      <c r="J812" s="6" t="s">
        <v>37</v>
      </c>
    </row>
    <row r="813" customFormat="false" ht="12.8" hidden="false" customHeight="false" outlineLevel="0" collapsed="false">
      <c r="G813" s="25" t="n">
        <v>44343</v>
      </c>
      <c r="H813" s="38" t="s">
        <v>832</v>
      </c>
      <c r="I813" s="5" t="n">
        <v>-0.53</v>
      </c>
      <c r="J813" s="6" t="s">
        <v>923</v>
      </c>
    </row>
    <row r="814" customFormat="false" ht="12.8" hidden="false" customHeight="false" outlineLevel="0" collapsed="false">
      <c r="G814" s="25" t="n">
        <v>44343</v>
      </c>
      <c r="H814" s="26" t="s">
        <v>10</v>
      </c>
      <c r="I814" s="5" t="n">
        <v>-50</v>
      </c>
      <c r="J814" s="6" t="s">
        <v>38</v>
      </c>
    </row>
    <row r="815" customFormat="false" ht="12.8" hidden="false" customHeight="false" outlineLevel="0" collapsed="false">
      <c r="G815" s="25" t="n">
        <v>44343</v>
      </c>
      <c r="H815" s="32" t="s">
        <v>15</v>
      </c>
      <c r="I815" s="5" t="n">
        <v>50</v>
      </c>
      <c r="J815" s="6" t="s">
        <v>38</v>
      </c>
    </row>
    <row r="816" customFormat="false" ht="12.8" hidden="false" customHeight="false" outlineLevel="0" collapsed="false">
      <c r="G816" s="25" t="n">
        <v>44343</v>
      </c>
      <c r="H816" s="32" t="s">
        <v>15</v>
      </c>
      <c r="I816" s="5" t="n">
        <v>-50</v>
      </c>
      <c r="J816" s="462" t="s">
        <v>868</v>
      </c>
    </row>
    <row r="817" customFormat="false" ht="12.8" hidden="false" customHeight="false" outlineLevel="0" collapsed="false">
      <c r="G817" s="25" t="n">
        <v>44343</v>
      </c>
      <c r="H817" s="43" t="s">
        <v>23</v>
      </c>
      <c r="I817" s="5" t="n">
        <v>-55.3</v>
      </c>
      <c r="J817" s="6" t="s">
        <v>37</v>
      </c>
    </row>
    <row r="818" customFormat="false" ht="12.8" hidden="false" customHeight="false" outlineLevel="0" collapsed="false">
      <c r="G818" s="25" t="n">
        <v>44343</v>
      </c>
      <c r="H818" s="43" t="s">
        <v>23</v>
      </c>
      <c r="I818" s="5" t="n">
        <v>-40</v>
      </c>
      <c r="J818" s="6" t="s">
        <v>37</v>
      </c>
    </row>
    <row r="819" customFormat="false" ht="12.8" hidden="false" customHeight="false" outlineLevel="0" collapsed="false">
      <c r="G819" s="25" t="n">
        <v>44344</v>
      </c>
      <c r="H819" s="48" t="s">
        <v>26</v>
      </c>
      <c r="I819" s="5" t="n">
        <v>-50</v>
      </c>
      <c r="J819" s="6" t="s">
        <v>56</v>
      </c>
    </row>
    <row r="820" customFormat="false" ht="12.8" hidden="false" customHeight="false" outlineLevel="0" collapsed="false">
      <c r="G820" s="25" t="n">
        <v>44344</v>
      </c>
      <c r="H820" s="52" t="s">
        <v>14</v>
      </c>
      <c r="I820" s="5" t="n">
        <v>50</v>
      </c>
      <c r="J820" s="6" t="s">
        <v>56</v>
      </c>
    </row>
    <row r="821" customFormat="false" ht="12.8" hidden="false" customHeight="false" outlineLevel="0" collapsed="false">
      <c r="G821" s="25" t="n">
        <v>44344</v>
      </c>
      <c r="H821" s="43" t="s">
        <v>23</v>
      </c>
      <c r="I821" s="5" t="n">
        <v>-121.61</v>
      </c>
      <c r="J821" s="6" t="s">
        <v>37</v>
      </c>
    </row>
    <row r="822" customFormat="false" ht="12.8" hidden="false" customHeight="false" outlineLevel="0" collapsed="false">
      <c r="G822" s="25" t="n">
        <v>44345</v>
      </c>
      <c r="H822" s="52" t="s">
        <v>14</v>
      </c>
      <c r="I822" s="5" t="n">
        <v>-10.64</v>
      </c>
      <c r="J822" s="6" t="s">
        <v>480</v>
      </c>
      <c r="K822" s="468"/>
    </row>
    <row r="823" customFormat="false" ht="12.8" hidden="false" customHeight="false" outlineLevel="0" collapsed="false">
      <c r="G823" s="25" t="n">
        <v>44345</v>
      </c>
      <c r="H823" s="48" t="s">
        <v>26</v>
      </c>
      <c r="I823" s="5" t="n">
        <v>15</v>
      </c>
      <c r="J823" s="6" t="s">
        <v>675</v>
      </c>
    </row>
    <row r="824" customFormat="false" ht="12.8" hidden="false" customHeight="false" outlineLevel="0" collapsed="false">
      <c r="G824" s="25" t="n">
        <v>44345</v>
      </c>
      <c r="H824" s="43" t="s">
        <v>23</v>
      </c>
      <c r="I824" s="5" t="n">
        <v>-110.51</v>
      </c>
      <c r="J824" s="6" t="s">
        <v>37</v>
      </c>
    </row>
    <row r="825" customFormat="false" ht="12.8" hidden="false" customHeight="false" outlineLevel="0" collapsed="false">
      <c r="G825" s="25" t="n">
        <v>44346</v>
      </c>
      <c r="H825" s="26" t="s">
        <v>10</v>
      </c>
      <c r="I825" s="5" t="n">
        <v>-61</v>
      </c>
      <c r="J825" s="6" t="s">
        <v>38</v>
      </c>
    </row>
    <row r="826" customFormat="false" ht="12.8" hidden="false" customHeight="false" outlineLevel="0" collapsed="false">
      <c r="G826" s="25" t="n">
        <v>44346</v>
      </c>
      <c r="H826" s="32" t="s">
        <v>15</v>
      </c>
      <c r="I826" s="5" t="n">
        <v>61</v>
      </c>
      <c r="J826" s="462" t="s">
        <v>38</v>
      </c>
    </row>
    <row r="827" customFormat="false" ht="12.8" hidden="false" customHeight="false" outlineLevel="0" collapsed="false">
      <c r="G827" s="25" t="n">
        <v>44346</v>
      </c>
      <c r="H827" s="32" t="s">
        <v>15</v>
      </c>
      <c r="I827" s="5" t="n">
        <v>-60</v>
      </c>
      <c r="J827" s="462" t="s">
        <v>37</v>
      </c>
    </row>
    <row r="828" customFormat="false" ht="12.8" hidden="false" customHeight="false" outlineLevel="0" collapsed="false">
      <c r="G828" s="25" t="n">
        <v>44346</v>
      </c>
      <c r="H828" s="43" t="s">
        <v>23</v>
      </c>
      <c r="I828" s="5" t="n">
        <v>-42.88</v>
      </c>
      <c r="J828" s="6" t="s">
        <v>37</v>
      </c>
    </row>
    <row r="829" customFormat="false" ht="12.8" hidden="false" customHeight="false" outlineLevel="0" collapsed="false">
      <c r="G829" s="25" t="n">
        <v>44346</v>
      </c>
      <c r="H829" s="43" t="s">
        <v>23</v>
      </c>
      <c r="I829" s="5" t="n">
        <v>-5</v>
      </c>
      <c r="J829" s="462" t="s">
        <v>846</v>
      </c>
    </row>
    <row r="830" customFormat="false" ht="12.8" hidden="false" customHeight="false" outlineLevel="0" collapsed="false">
      <c r="G830" s="25" t="n">
        <v>44347</v>
      </c>
      <c r="H830" s="43" t="s">
        <v>23</v>
      </c>
      <c r="I830" s="5" t="n">
        <v>-11.77</v>
      </c>
      <c r="J830" s="6" t="s">
        <v>37</v>
      </c>
    </row>
    <row r="831" customFormat="false" ht="12.8" hidden="false" customHeight="false" outlineLevel="0" collapsed="false">
      <c r="G831" s="25" t="n">
        <v>44347</v>
      </c>
      <c r="H831" s="26" t="s">
        <v>10</v>
      </c>
      <c r="I831" s="5" t="n">
        <v>-100</v>
      </c>
      <c r="J831" s="6" t="s">
        <v>38</v>
      </c>
    </row>
    <row r="832" customFormat="false" ht="12.8" hidden="false" customHeight="false" outlineLevel="0" collapsed="false">
      <c r="G832" s="25" t="n">
        <v>44347</v>
      </c>
      <c r="H832" s="32" t="s">
        <v>15</v>
      </c>
      <c r="I832" s="5" t="n">
        <v>100</v>
      </c>
      <c r="J832" s="462" t="s">
        <v>38</v>
      </c>
    </row>
    <row r="833" customFormat="false" ht="12.8" hidden="false" customHeight="false" outlineLevel="0" collapsed="false">
      <c r="G833" s="25" t="n">
        <v>44347</v>
      </c>
      <c r="H833" s="32" t="s">
        <v>15</v>
      </c>
      <c r="I833" s="5" t="n">
        <v>-83.1</v>
      </c>
      <c r="J833" s="462" t="s">
        <v>37</v>
      </c>
    </row>
    <row r="834" customFormat="false" ht="12.8" hidden="false" customHeight="false" outlineLevel="0" collapsed="false">
      <c r="G834" s="25" t="n">
        <v>44348</v>
      </c>
      <c r="H834" s="26" t="s">
        <v>10</v>
      </c>
      <c r="I834" s="5" t="n">
        <v>-192</v>
      </c>
      <c r="J834" s="6" t="s">
        <v>38</v>
      </c>
    </row>
    <row r="835" customFormat="false" ht="12.8" hidden="false" customHeight="false" outlineLevel="0" collapsed="false">
      <c r="G835" s="25" t="n">
        <v>44348</v>
      </c>
      <c r="H835" s="26" t="s">
        <v>10</v>
      </c>
      <c r="I835" s="5" t="n">
        <v>0.16</v>
      </c>
      <c r="J835" s="6" t="s">
        <v>857</v>
      </c>
    </row>
    <row r="836" customFormat="false" ht="12.8" hidden="false" customHeight="false" outlineLevel="0" collapsed="false">
      <c r="G836" s="25" t="n">
        <v>44348</v>
      </c>
      <c r="H836" s="32" t="s">
        <v>15</v>
      </c>
      <c r="I836" s="5" t="n">
        <v>192</v>
      </c>
      <c r="J836" s="462" t="s">
        <v>38</v>
      </c>
    </row>
    <row r="837" customFormat="false" ht="12.8" hidden="false" customHeight="false" outlineLevel="0" collapsed="false">
      <c r="G837" s="25" t="n">
        <v>44348</v>
      </c>
      <c r="H837" s="32" t="s">
        <v>15</v>
      </c>
      <c r="I837" s="5" t="n">
        <v>-100</v>
      </c>
      <c r="J837" s="462" t="s">
        <v>868</v>
      </c>
    </row>
    <row r="838" customFormat="false" ht="12.8" hidden="false" customHeight="false" outlineLevel="0" collapsed="false">
      <c r="G838" s="25" t="n">
        <v>44348</v>
      </c>
      <c r="H838" s="32" t="s">
        <v>15</v>
      </c>
      <c r="I838" s="5" t="n">
        <v>-103.33</v>
      </c>
      <c r="J838" s="462" t="s">
        <v>37</v>
      </c>
    </row>
    <row r="839" customFormat="false" ht="12.8" hidden="false" customHeight="false" outlineLevel="0" collapsed="false">
      <c r="G839" s="25" t="n">
        <v>44348</v>
      </c>
      <c r="H839" s="48" t="s">
        <v>26</v>
      </c>
      <c r="I839" s="5" t="n">
        <v>-15</v>
      </c>
      <c r="J839" s="462" t="s">
        <v>846</v>
      </c>
    </row>
    <row r="840" customFormat="false" ht="12.8" hidden="false" customHeight="false" outlineLevel="0" collapsed="false">
      <c r="G840" s="25" t="n">
        <v>44349</v>
      </c>
      <c r="H840" s="26" t="s">
        <v>10</v>
      </c>
      <c r="I840" s="5" t="n">
        <v>-94</v>
      </c>
      <c r="J840" s="462" t="s">
        <v>38</v>
      </c>
    </row>
    <row r="841" customFormat="false" ht="12.8" hidden="false" customHeight="false" outlineLevel="0" collapsed="false">
      <c r="G841" s="25" t="n">
        <v>44349</v>
      </c>
      <c r="H841" s="32" t="s">
        <v>15</v>
      </c>
      <c r="I841" s="5" t="n">
        <v>94</v>
      </c>
      <c r="J841" s="462" t="s">
        <v>38</v>
      </c>
    </row>
    <row r="842" customFormat="false" ht="12.8" hidden="false" customHeight="false" outlineLevel="0" collapsed="false">
      <c r="G842" s="25" t="n">
        <v>44349</v>
      </c>
      <c r="H842" s="32" t="s">
        <v>15</v>
      </c>
      <c r="I842" s="5" t="n">
        <v>-92.42</v>
      </c>
      <c r="J842" s="462" t="s">
        <v>37</v>
      </c>
    </row>
    <row r="843" customFormat="false" ht="12.8" hidden="false" customHeight="false" outlineLevel="0" collapsed="false">
      <c r="G843" s="25" t="n">
        <v>44350</v>
      </c>
      <c r="H843" s="26" t="s">
        <v>10</v>
      </c>
      <c r="I843" s="5" t="n">
        <v>-92</v>
      </c>
      <c r="J843" s="462" t="s">
        <v>38</v>
      </c>
    </row>
    <row r="844" customFormat="false" ht="12.8" hidden="false" customHeight="false" outlineLevel="0" collapsed="false">
      <c r="G844" s="25" t="n">
        <v>44350</v>
      </c>
      <c r="H844" s="32" t="s">
        <v>15</v>
      </c>
      <c r="I844" s="5" t="n">
        <v>92</v>
      </c>
      <c r="J844" s="462" t="s">
        <v>38</v>
      </c>
    </row>
    <row r="845" customFormat="false" ht="12.8" hidden="false" customHeight="false" outlineLevel="0" collapsed="false">
      <c r="G845" s="25" t="n">
        <v>44350</v>
      </c>
      <c r="H845" s="32" t="s">
        <v>15</v>
      </c>
      <c r="I845" s="5" t="n">
        <v>-85.73</v>
      </c>
      <c r="J845" s="462" t="s">
        <v>37</v>
      </c>
    </row>
    <row r="846" customFormat="false" ht="12.8" hidden="false" customHeight="false" outlineLevel="0" collapsed="false">
      <c r="G846" s="25" t="n">
        <v>44351</v>
      </c>
      <c r="H846" s="48" t="s">
        <v>26</v>
      </c>
      <c r="I846" s="5" t="n">
        <v>4406.11</v>
      </c>
      <c r="J846" s="462" t="s">
        <v>924</v>
      </c>
    </row>
    <row r="847" customFormat="false" ht="12.8" hidden="false" customHeight="false" outlineLevel="0" collapsed="false">
      <c r="G847" s="25" t="n">
        <v>44351</v>
      </c>
      <c r="H847" s="48" t="s">
        <v>26</v>
      </c>
      <c r="I847" s="5" t="n">
        <v>-2700</v>
      </c>
      <c r="J847" s="462" t="s">
        <v>146</v>
      </c>
    </row>
    <row r="848" customFormat="false" ht="12.8" hidden="false" customHeight="false" outlineLevel="0" collapsed="false">
      <c r="G848" s="25" t="n">
        <v>44351</v>
      </c>
      <c r="H848" s="32" t="s">
        <v>15</v>
      </c>
      <c r="I848" s="5" t="n">
        <v>2700</v>
      </c>
      <c r="J848" s="462" t="s">
        <v>146</v>
      </c>
    </row>
    <row r="849" customFormat="false" ht="12.8" hidden="false" customHeight="false" outlineLevel="0" collapsed="false">
      <c r="G849" s="25" t="n">
        <v>44351</v>
      </c>
      <c r="H849" s="48" t="s">
        <v>26</v>
      </c>
      <c r="I849" s="5" t="n">
        <v>-3</v>
      </c>
      <c r="J849" s="6" t="s">
        <v>67</v>
      </c>
    </row>
    <row r="850" customFormat="false" ht="12.8" hidden="false" customHeight="false" outlineLevel="0" collapsed="false">
      <c r="G850" s="25" t="n">
        <v>44351</v>
      </c>
      <c r="H850" s="48" t="s">
        <v>26</v>
      </c>
      <c r="I850" s="5" t="n">
        <v>-1500</v>
      </c>
      <c r="J850" s="6" t="s">
        <v>925</v>
      </c>
    </row>
    <row r="851" customFormat="false" ht="12.8" hidden="false" customHeight="false" outlineLevel="0" collapsed="false">
      <c r="G851" s="25" t="n">
        <v>44351</v>
      </c>
      <c r="H851" s="48" t="s">
        <v>26</v>
      </c>
      <c r="I851" s="5" t="n">
        <v>-203</v>
      </c>
      <c r="J851" s="6" t="s">
        <v>56</v>
      </c>
    </row>
    <row r="852" customFormat="false" ht="12.8" hidden="false" customHeight="false" outlineLevel="0" collapsed="false">
      <c r="G852" s="25" t="n">
        <v>44351</v>
      </c>
      <c r="H852" s="52" t="s">
        <v>14</v>
      </c>
      <c r="I852" s="5" t="n">
        <v>203</v>
      </c>
      <c r="J852" s="6" t="s">
        <v>56</v>
      </c>
    </row>
    <row r="853" customFormat="false" ht="12.8" hidden="false" customHeight="false" outlineLevel="0" collapsed="false">
      <c r="G853" s="25" t="n">
        <v>44351</v>
      </c>
      <c r="H853" s="32" t="s">
        <v>15</v>
      </c>
      <c r="I853" s="5" t="n">
        <v>-2700</v>
      </c>
      <c r="J853" s="462" t="s">
        <v>38</v>
      </c>
    </row>
    <row r="854" customFormat="false" ht="12.8" hidden="false" customHeight="false" outlineLevel="0" collapsed="false">
      <c r="G854" s="25" t="n">
        <v>44351</v>
      </c>
      <c r="H854" s="26" t="s">
        <v>10</v>
      </c>
      <c r="I854" s="5" t="n">
        <v>2700</v>
      </c>
      <c r="J854" s="462" t="s">
        <v>38</v>
      </c>
    </row>
    <row r="855" customFormat="false" ht="12.8" hidden="false" customHeight="false" outlineLevel="0" collapsed="false">
      <c r="G855" s="25" t="n">
        <v>44351</v>
      </c>
      <c r="H855" s="26" t="s">
        <v>10</v>
      </c>
      <c r="I855" s="5" t="n">
        <v>-86</v>
      </c>
      <c r="J855" s="462" t="s">
        <v>38</v>
      </c>
    </row>
    <row r="856" customFormat="false" ht="12.8" hidden="false" customHeight="false" outlineLevel="0" collapsed="false">
      <c r="G856" s="25" t="n">
        <v>44351</v>
      </c>
      <c r="H856" s="32" t="s">
        <v>15</v>
      </c>
      <c r="I856" s="5" t="n">
        <v>86</v>
      </c>
      <c r="J856" s="462" t="s">
        <v>38</v>
      </c>
    </row>
    <row r="857" customFormat="false" ht="12.8" hidden="false" customHeight="false" outlineLevel="0" collapsed="false">
      <c r="G857" s="25" t="n">
        <v>44351</v>
      </c>
      <c r="H857" s="32" t="s">
        <v>15</v>
      </c>
      <c r="I857" s="5" t="n">
        <v>-89.14</v>
      </c>
      <c r="J857" s="462" t="s">
        <v>37</v>
      </c>
    </row>
    <row r="858" customFormat="false" ht="12.8" hidden="false" customHeight="false" outlineLevel="0" collapsed="false">
      <c r="G858" s="25" t="n">
        <v>44351</v>
      </c>
      <c r="H858" s="32" t="s">
        <v>15</v>
      </c>
      <c r="I858" s="5" t="n">
        <v>-10.84</v>
      </c>
      <c r="J858" s="462" t="s">
        <v>462</v>
      </c>
    </row>
    <row r="859" customFormat="false" ht="12.8" hidden="false" customHeight="false" outlineLevel="0" collapsed="false">
      <c r="G859" s="25" t="n">
        <v>44351</v>
      </c>
      <c r="H859" s="26" t="s">
        <v>10</v>
      </c>
      <c r="I859" s="5" t="n">
        <v>10.84</v>
      </c>
      <c r="J859" s="462" t="s">
        <v>462</v>
      </c>
    </row>
    <row r="860" customFormat="false" ht="12.8" hidden="false" customHeight="false" outlineLevel="0" collapsed="false">
      <c r="G860" s="25" t="n">
        <v>44352</v>
      </c>
      <c r="H860" s="26" t="s">
        <v>10</v>
      </c>
      <c r="I860" s="5" t="n">
        <v>-105</v>
      </c>
      <c r="J860" s="462" t="s">
        <v>38</v>
      </c>
    </row>
    <row r="861" customFormat="false" ht="12.8" hidden="false" customHeight="false" outlineLevel="0" collapsed="false">
      <c r="G861" s="25" t="n">
        <v>44352</v>
      </c>
      <c r="H861" s="32" t="s">
        <v>15</v>
      </c>
      <c r="I861" s="5" t="n">
        <v>105</v>
      </c>
      <c r="J861" s="462" t="s">
        <v>38</v>
      </c>
    </row>
    <row r="862" customFormat="false" ht="12.8" hidden="false" customHeight="false" outlineLevel="0" collapsed="false">
      <c r="G862" s="25" t="n">
        <v>44352</v>
      </c>
      <c r="H862" s="32" t="s">
        <v>15</v>
      </c>
      <c r="I862" s="5" t="n">
        <v>-100.78</v>
      </c>
      <c r="J862" s="462" t="s">
        <v>37</v>
      </c>
    </row>
    <row r="863" customFormat="false" ht="12.8" hidden="false" customHeight="false" outlineLevel="0" collapsed="false">
      <c r="G863" s="25" t="n">
        <v>44353</v>
      </c>
      <c r="H863" s="26" t="s">
        <v>10</v>
      </c>
      <c r="I863" s="5" t="n">
        <v>-726</v>
      </c>
      <c r="J863" s="462" t="s">
        <v>38</v>
      </c>
    </row>
    <row r="864" customFormat="false" ht="12.8" hidden="false" customHeight="false" outlineLevel="0" collapsed="false">
      <c r="G864" s="25" t="n">
        <v>44353</v>
      </c>
      <c r="H864" s="32" t="s">
        <v>15</v>
      </c>
      <c r="I864" s="5" t="n">
        <v>726</v>
      </c>
      <c r="J864" s="462" t="s">
        <v>38</v>
      </c>
    </row>
    <row r="865" customFormat="false" ht="12.8" hidden="false" customHeight="false" outlineLevel="0" collapsed="false">
      <c r="G865" s="25" t="n">
        <v>44353</v>
      </c>
      <c r="H865" s="32" t="s">
        <v>15</v>
      </c>
      <c r="I865" s="5" t="n">
        <v>-630</v>
      </c>
      <c r="J865" s="10" t="s">
        <v>848</v>
      </c>
    </row>
    <row r="866" customFormat="false" ht="12.8" hidden="false" customHeight="false" outlineLevel="0" collapsed="false">
      <c r="G866" s="25" t="n">
        <v>44353</v>
      </c>
      <c r="H866" s="32" t="s">
        <v>15</v>
      </c>
      <c r="I866" s="5" t="n">
        <v>-83.8</v>
      </c>
      <c r="J866" s="462" t="s">
        <v>37</v>
      </c>
    </row>
    <row r="867" customFormat="false" ht="12.8" hidden="false" customHeight="false" outlineLevel="0" collapsed="false">
      <c r="G867" s="25" t="n">
        <v>44354</v>
      </c>
      <c r="H867" s="26" t="s">
        <v>10</v>
      </c>
      <c r="I867" s="5" t="n">
        <v>-113</v>
      </c>
      <c r="J867" s="462" t="s">
        <v>38</v>
      </c>
    </row>
    <row r="868" customFormat="false" ht="12.8" hidden="false" customHeight="false" outlineLevel="0" collapsed="false">
      <c r="G868" s="25" t="n">
        <v>44354</v>
      </c>
      <c r="H868" s="32" t="s">
        <v>15</v>
      </c>
      <c r="I868" s="5" t="n">
        <v>113</v>
      </c>
      <c r="J868" s="462" t="s">
        <v>38</v>
      </c>
    </row>
    <row r="869" customFormat="false" ht="12.8" hidden="false" customHeight="false" outlineLevel="0" collapsed="false">
      <c r="G869" s="25" t="n">
        <v>44354</v>
      </c>
      <c r="H869" s="32" t="s">
        <v>15</v>
      </c>
      <c r="I869" s="5" t="n">
        <v>-103.28</v>
      </c>
      <c r="J869" s="462" t="s">
        <v>37</v>
      </c>
    </row>
    <row r="870" customFormat="false" ht="12.8" hidden="false" customHeight="false" outlineLevel="0" collapsed="false">
      <c r="G870" s="25" t="n">
        <v>44354</v>
      </c>
      <c r="H870" s="32" t="s">
        <v>15</v>
      </c>
      <c r="I870" s="5" t="n">
        <v>-17.92</v>
      </c>
      <c r="J870" s="462" t="s">
        <v>841</v>
      </c>
    </row>
    <row r="871" customFormat="false" ht="12.8" hidden="false" customHeight="false" outlineLevel="0" collapsed="false">
      <c r="G871" s="25" t="n">
        <v>44355</v>
      </c>
      <c r="H871" s="26" t="s">
        <v>10</v>
      </c>
      <c r="I871" s="5" t="n">
        <v>-95</v>
      </c>
      <c r="J871" s="462" t="s">
        <v>38</v>
      </c>
    </row>
    <row r="872" customFormat="false" ht="12.8" hidden="false" customHeight="false" outlineLevel="0" collapsed="false">
      <c r="G872" s="25" t="n">
        <v>44355</v>
      </c>
      <c r="H872" s="32" t="s">
        <v>15</v>
      </c>
      <c r="I872" s="5" t="n">
        <v>95</v>
      </c>
      <c r="J872" s="462" t="s">
        <v>38</v>
      </c>
    </row>
    <row r="873" customFormat="false" ht="12.8" hidden="false" customHeight="false" outlineLevel="0" collapsed="false">
      <c r="G873" s="25" t="n">
        <v>44355</v>
      </c>
      <c r="H873" s="32" t="s">
        <v>15</v>
      </c>
      <c r="I873" s="5" t="n">
        <v>-90.99</v>
      </c>
      <c r="J873" s="462" t="s">
        <v>37</v>
      </c>
    </row>
    <row r="874" customFormat="false" ht="12.8" hidden="false" customHeight="false" outlineLevel="0" collapsed="false">
      <c r="G874" s="25" t="n">
        <v>44356</v>
      </c>
      <c r="H874" s="26" t="s">
        <v>10</v>
      </c>
      <c r="I874" s="5" t="n">
        <v>-107</v>
      </c>
      <c r="J874" s="462" t="s">
        <v>38</v>
      </c>
    </row>
    <row r="875" customFormat="false" ht="12.8" hidden="false" customHeight="false" outlineLevel="0" collapsed="false">
      <c r="G875" s="25" t="n">
        <v>44356</v>
      </c>
      <c r="H875" s="32" t="s">
        <v>15</v>
      </c>
      <c r="I875" s="5" t="n">
        <v>107</v>
      </c>
      <c r="J875" s="462" t="s">
        <v>38</v>
      </c>
    </row>
    <row r="876" customFormat="false" ht="12.8" hidden="false" customHeight="false" outlineLevel="0" collapsed="false">
      <c r="G876" s="25" t="n">
        <v>44356</v>
      </c>
      <c r="H876" s="32" t="s">
        <v>15</v>
      </c>
      <c r="I876" s="5" t="n">
        <v>-105.09</v>
      </c>
      <c r="J876" s="462" t="s">
        <v>37</v>
      </c>
    </row>
    <row r="877" customFormat="false" ht="12.8" hidden="false" customHeight="false" outlineLevel="0" collapsed="false">
      <c r="G877" s="25" t="n">
        <v>44354</v>
      </c>
      <c r="H877" s="38" t="s">
        <v>21</v>
      </c>
      <c r="I877" s="5" t="n">
        <v>-15</v>
      </c>
      <c r="J877" s="10" t="s">
        <v>846</v>
      </c>
    </row>
    <row r="878" customFormat="false" ht="12.8" hidden="false" customHeight="false" outlineLevel="0" collapsed="false">
      <c r="G878" s="25" t="n">
        <v>44357</v>
      </c>
      <c r="H878" s="26" t="s">
        <v>10</v>
      </c>
      <c r="I878" s="5" t="n">
        <v>-30</v>
      </c>
      <c r="J878" s="462" t="s">
        <v>38</v>
      </c>
    </row>
    <row r="879" customFormat="false" ht="12.8" hidden="false" customHeight="false" outlineLevel="0" collapsed="false">
      <c r="G879" s="25" t="n">
        <v>44357</v>
      </c>
      <c r="H879" s="32" t="s">
        <v>15</v>
      </c>
      <c r="I879" s="5" t="n">
        <v>30</v>
      </c>
      <c r="J879" s="462" t="s">
        <v>38</v>
      </c>
    </row>
    <row r="880" customFormat="false" ht="12.8" hidden="false" customHeight="false" outlineLevel="0" collapsed="false">
      <c r="G880" s="25" t="n">
        <v>44357</v>
      </c>
      <c r="H880" s="32" t="s">
        <v>15</v>
      </c>
      <c r="I880" s="5" t="n">
        <v>-40</v>
      </c>
      <c r="J880" s="462" t="s">
        <v>37</v>
      </c>
    </row>
    <row r="881" customFormat="false" ht="12.8" hidden="false" customHeight="false" outlineLevel="0" collapsed="false">
      <c r="G881" s="25" t="n">
        <v>44357</v>
      </c>
      <c r="H881" s="26" t="s">
        <v>10</v>
      </c>
      <c r="I881" s="5" t="n">
        <v>-60</v>
      </c>
      <c r="J881" s="462" t="s">
        <v>38</v>
      </c>
    </row>
    <row r="882" customFormat="false" ht="12.8" hidden="false" customHeight="false" outlineLevel="0" collapsed="false">
      <c r="G882" s="25" t="n">
        <v>44357</v>
      </c>
      <c r="H882" s="32" t="s">
        <v>15</v>
      </c>
      <c r="I882" s="5" t="n">
        <v>60</v>
      </c>
      <c r="J882" s="462" t="s">
        <v>38</v>
      </c>
    </row>
    <row r="883" customFormat="false" ht="12.8" hidden="false" customHeight="false" outlineLevel="0" collapsed="false">
      <c r="G883" s="25" t="n">
        <v>44357</v>
      </c>
      <c r="H883" s="32" t="s">
        <v>15</v>
      </c>
      <c r="I883" s="5" t="n">
        <v>-57.95</v>
      </c>
      <c r="J883" s="462" t="s">
        <v>37</v>
      </c>
    </row>
    <row r="884" customFormat="false" ht="12.8" hidden="false" customHeight="false" outlineLevel="0" collapsed="false">
      <c r="G884" s="25" t="n">
        <v>44358</v>
      </c>
      <c r="H884" s="26" t="s">
        <v>10</v>
      </c>
      <c r="I884" s="5" t="n">
        <v>-76</v>
      </c>
      <c r="J884" s="462" t="s">
        <v>38</v>
      </c>
    </row>
    <row r="885" customFormat="false" ht="12.8" hidden="false" customHeight="false" outlineLevel="0" collapsed="false">
      <c r="G885" s="25" t="n">
        <v>44358</v>
      </c>
      <c r="H885" s="32" t="s">
        <v>15</v>
      </c>
      <c r="I885" s="5" t="n">
        <v>76</v>
      </c>
      <c r="J885" s="462" t="s">
        <v>38</v>
      </c>
    </row>
    <row r="886" customFormat="false" ht="12.8" hidden="false" customHeight="false" outlineLevel="0" collapsed="false">
      <c r="G886" s="25" t="n">
        <v>44358</v>
      </c>
      <c r="H886" s="32" t="s">
        <v>15</v>
      </c>
      <c r="I886" s="5" t="n">
        <v>-80</v>
      </c>
      <c r="J886" s="462" t="s">
        <v>37</v>
      </c>
    </row>
    <row r="887" customFormat="false" ht="12.8" hidden="false" customHeight="false" outlineLevel="0" collapsed="false">
      <c r="G887" s="25" t="n">
        <v>44358</v>
      </c>
      <c r="H887" s="26" t="s">
        <v>10</v>
      </c>
      <c r="I887" s="5" t="n">
        <v>-30</v>
      </c>
      <c r="J887" s="462" t="s">
        <v>38</v>
      </c>
    </row>
    <row r="888" customFormat="false" ht="12.8" hidden="false" customHeight="false" outlineLevel="0" collapsed="false">
      <c r="G888" s="25" t="n">
        <v>44358</v>
      </c>
      <c r="H888" s="32" t="s">
        <v>15</v>
      </c>
      <c r="I888" s="5" t="n">
        <v>30</v>
      </c>
      <c r="J888" s="462" t="s">
        <v>38</v>
      </c>
    </row>
    <row r="889" customFormat="false" ht="12.8" hidden="false" customHeight="false" outlineLevel="0" collapsed="false">
      <c r="G889" s="25" t="n">
        <v>44358</v>
      </c>
      <c r="H889" s="32" t="s">
        <v>15</v>
      </c>
      <c r="I889" s="5" t="n">
        <v>-31.18</v>
      </c>
      <c r="J889" s="462" t="s">
        <v>37</v>
      </c>
    </row>
    <row r="890" customFormat="false" ht="12.8" hidden="false" customHeight="false" outlineLevel="0" collapsed="false">
      <c r="G890" s="25" t="n">
        <v>44359</v>
      </c>
      <c r="H890" s="26" t="s">
        <v>10</v>
      </c>
      <c r="I890" s="5" t="n">
        <v>-83</v>
      </c>
      <c r="J890" s="462" t="s">
        <v>38</v>
      </c>
    </row>
    <row r="891" customFormat="false" ht="12.8" hidden="false" customHeight="false" outlineLevel="0" collapsed="false">
      <c r="G891" s="25" t="n">
        <v>44359</v>
      </c>
      <c r="H891" s="32" t="s">
        <v>15</v>
      </c>
      <c r="I891" s="5" t="n">
        <v>83</v>
      </c>
      <c r="J891" s="462" t="s">
        <v>38</v>
      </c>
    </row>
    <row r="892" customFormat="false" ht="12.8" hidden="false" customHeight="false" outlineLevel="0" collapsed="false">
      <c r="G892" s="25" t="n">
        <v>44359</v>
      </c>
      <c r="H892" s="32" t="s">
        <v>15</v>
      </c>
      <c r="I892" s="5" t="n">
        <v>-80</v>
      </c>
      <c r="J892" s="462" t="s">
        <v>37</v>
      </c>
    </row>
    <row r="893" customFormat="false" ht="12.8" hidden="false" customHeight="false" outlineLevel="0" collapsed="false">
      <c r="G893" s="25" t="n">
        <v>44359</v>
      </c>
      <c r="H893" s="26" t="s">
        <v>10</v>
      </c>
      <c r="I893" s="5" t="n">
        <v>-30</v>
      </c>
      <c r="J893" s="462" t="s">
        <v>38</v>
      </c>
    </row>
    <row r="894" customFormat="false" ht="12.8" hidden="false" customHeight="false" outlineLevel="0" collapsed="false">
      <c r="G894" s="25" t="n">
        <v>44359</v>
      </c>
      <c r="H894" s="32" t="s">
        <v>15</v>
      </c>
      <c r="I894" s="5" t="n">
        <v>30</v>
      </c>
      <c r="J894" s="462" t="s">
        <v>38</v>
      </c>
    </row>
    <row r="895" customFormat="false" ht="12.8" hidden="false" customHeight="false" outlineLevel="0" collapsed="false">
      <c r="G895" s="25" t="n">
        <v>44359</v>
      </c>
      <c r="H895" s="32" t="s">
        <v>15</v>
      </c>
      <c r="I895" s="5" t="n">
        <v>-28.39</v>
      </c>
      <c r="J895" s="462" t="s">
        <v>37</v>
      </c>
    </row>
    <row r="896" customFormat="false" ht="12.8" hidden="false" customHeight="false" outlineLevel="0" collapsed="false">
      <c r="G896" s="25" t="n">
        <v>44360</v>
      </c>
      <c r="H896" s="26" t="s">
        <v>10</v>
      </c>
      <c r="I896" s="5" t="n">
        <v>-107</v>
      </c>
      <c r="J896" s="462" t="s">
        <v>38</v>
      </c>
    </row>
    <row r="897" customFormat="false" ht="12.8" hidden="false" customHeight="false" outlineLevel="0" collapsed="false">
      <c r="G897" s="25" t="n">
        <v>44360</v>
      </c>
      <c r="H897" s="32" t="s">
        <v>15</v>
      </c>
      <c r="I897" s="5" t="n">
        <v>107</v>
      </c>
      <c r="J897" s="462" t="s">
        <v>38</v>
      </c>
    </row>
    <row r="898" customFormat="false" ht="12.8" hidden="false" customHeight="false" outlineLevel="0" collapsed="false">
      <c r="G898" s="25" t="n">
        <v>44360</v>
      </c>
      <c r="H898" s="32" t="s">
        <v>15</v>
      </c>
      <c r="I898" s="5" t="n">
        <v>-96.9</v>
      </c>
      <c r="J898" s="462" t="s">
        <v>37</v>
      </c>
    </row>
    <row r="899" customFormat="false" ht="12.8" hidden="false" customHeight="false" outlineLevel="0" collapsed="false">
      <c r="G899" s="25" t="n">
        <v>44360</v>
      </c>
      <c r="H899" s="32" t="s">
        <v>15</v>
      </c>
      <c r="I899" s="5" t="n">
        <v>-16</v>
      </c>
      <c r="J899" s="462" t="s">
        <v>56</v>
      </c>
    </row>
    <row r="900" customFormat="false" ht="12.8" hidden="false" customHeight="false" outlineLevel="0" collapsed="false">
      <c r="G900" s="25" t="n">
        <v>44360</v>
      </c>
      <c r="H900" s="26" t="s">
        <v>10</v>
      </c>
      <c r="I900" s="5" t="n">
        <v>16</v>
      </c>
      <c r="J900" s="462" t="s">
        <v>56</v>
      </c>
    </row>
    <row r="901" customFormat="false" ht="12.8" hidden="false" customHeight="false" outlineLevel="0" collapsed="false">
      <c r="G901" s="25" t="n">
        <v>44361</v>
      </c>
      <c r="H901" s="26" t="s">
        <v>10</v>
      </c>
      <c r="I901" s="5" t="n">
        <v>-120</v>
      </c>
      <c r="J901" s="462" t="s">
        <v>38</v>
      </c>
    </row>
    <row r="902" customFormat="false" ht="12.8" hidden="false" customHeight="false" outlineLevel="0" collapsed="false">
      <c r="G902" s="25" t="n">
        <v>44361</v>
      </c>
      <c r="H902" s="32" t="s">
        <v>15</v>
      </c>
      <c r="I902" s="5" t="n">
        <v>120</v>
      </c>
      <c r="J902" s="462" t="s">
        <v>38</v>
      </c>
    </row>
    <row r="903" customFormat="false" ht="12.8" hidden="false" customHeight="false" outlineLevel="0" collapsed="false">
      <c r="G903" s="25" t="n">
        <v>44361</v>
      </c>
      <c r="H903" s="32" t="s">
        <v>15</v>
      </c>
      <c r="I903" s="5" t="n">
        <v>-108.02</v>
      </c>
      <c r="J903" s="462" t="s">
        <v>37</v>
      </c>
    </row>
    <row r="904" customFormat="false" ht="12.8" hidden="false" customHeight="false" outlineLevel="0" collapsed="false">
      <c r="G904" s="25" t="n">
        <v>44362</v>
      </c>
      <c r="H904" s="26" t="s">
        <v>10</v>
      </c>
      <c r="I904" s="5" t="n">
        <v>-74</v>
      </c>
      <c r="J904" s="462" t="s">
        <v>38</v>
      </c>
    </row>
    <row r="905" customFormat="false" ht="12.8" hidden="false" customHeight="false" outlineLevel="0" collapsed="false">
      <c r="G905" s="25" t="n">
        <v>44362</v>
      </c>
      <c r="H905" s="32" t="s">
        <v>15</v>
      </c>
      <c r="I905" s="5" t="n">
        <v>74</v>
      </c>
      <c r="J905" s="462" t="s">
        <v>38</v>
      </c>
    </row>
    <row r="906" customFormat="false" ht="12.8" hidden="false" customHeight="false" outlineLevel="0" collapsed="false">
      <c r="G906" s="25" t="n">
        <v>44362</v>
      </c>
      <c r="H906" s="32" t="s">
        <v>15</v>
      </c>
      <c r="I906" s="5" t="n">
        <v>-84.49</v>
      </c>
      <c r="J906" s="462" t="s">
        <v>37</v>
      </c>
    </row>
    <row r="907" customFormat="false" ht="12.8" hidden="false" customHeight="false" outlineLevel="0" collapsed="false">
      <c r="G907" s="25" t="n">
        <v>44362</v>
      </c>
      <c r="H907" s="26" t="s">
        <v>10</v>
      </c>
      <c r="I907" s="5" t="n">
        <v>-100</v>
      </c>
      <c r="J907" s="462" t="s">
        <v>38</v>
      </c>
    </row>
    <row r="908" customFormat="false" ht="12.8" hidden="false" customHeight="false" outlineLevel="0" collapsed="false">
      <c r="G908" s="25" t="n">
        <v>44362</v>
      </c>
      <c r="H908" s="32" t="s">
        <v>15</v>
      </c>
      <c r="I908" s="5" t="n">
        <v>100</v>
      </c>
      <c r="J908" s="462" t="s">
        <v>38</v>
      </c>
    </row>
    <row r="909" customFormat="false" ht="12.8" hidden="false" customHeight="false" outlineLevel="0" collapsed="false">
      <c r="G909" s="25" t="n">
        <v>44362</v>
      </c>
      <c r="H909" s="32" t="s">
        <v>15</v>
      </c>
      <c r="I909" s="5" t="n">
        <v>-100</v>
      </c>
      <c r="J909" s="10" t="s">
        <v>44</v>
      </c>
    </row>
    <row r="910" customFormat="false" ht="12.8" hidden="false" customHeight="false" outlineLevel="0" collapsed="false">
      <c r="G910" s="25" t="n">
        <v>44362</v>
      </c>
      <c r="H910" s="26" t="s">
        <v>10</v>
      </c>
      <c r="I910" s="5" t="n">
        <v>-33</v>
      </c>
      <c r="J910" s="462" t="s">
        <v>38</v>
      </c>
    </row>
    <row r="911" customFormat="false" ht="12.8" hidden="false" customHeight="false" outlineLevel="0" collapsed="false">
      <c r="G911" s="25" t="n">
        <v>44362</v>
      </c>
      <c r="H911" s="32" t="s">
        <v>15</v>
      </c>
      <c r="I911" s="5" t="n">
        <v>33</v>
      </c>
      <c r="J911" s="462" t="s">
        <v>38</v>
      </c>
    </row>
    <row r="912" customFormat="false" ht="12.8" hidden="false" customHeight="false" outlineLevel="0" collapsed="false">
      <c r="G912" s="25" t="n">
        <v>44362</v>
      </c>
      <c r="H912" s="32" t="s">
        <v>15</v>
      </c>
      <c r="I912" s="5" t="n">
        <v>-34.16</v>
      </c>
      <c r="J912" s="462" t="s">
        <v>37</v>
      </c>
    </row>
    <row r="913" customFormat="false" ht="12.8" hidden="false" customHeight="false" outlineLevel="0" collapsed="false">
      <c r="G913" s="25" t="n">
        <v>44362</v>
      </c>
      <c r="H913" s="43" t="s">
        <v>23</v>
      </c>
      <c r="I913" s="5" t="n">
        <v>1386</v>
      </c>
      <c r="J913" s="462" t="s">
        <v>912</v>
      </c>
    </row>
    <row r="914" customFormat="false" ht="12.8" hidden="false" customHeight="false" outlineLevel="0" collapsed="false">
      <c r="G914" s="25" t="n">
        <v>44362</v>
      </c>
      <c r="H914" s="43" t="s">
        <v>23</v>
      </c>
      <c r="I914" s="5" t="n">
        <v>-5</v>
      </c>
      <c r="J914" s="10" t="s">
        <v>130</v>
      </c>
    </row>
    <row r="915" customFormat="false" ht="12.8" hidden="false" customHeight="false" outlineLevel="0" collapsed="false">
      <c r="G915" s="25" t="n">
        <v>44362</v>
      </c>
      <c r="H915" s="43" t="s">
        <v>23</v>
      </c>
      <c r="I915" s="5" t="n">
        <v>500</v>
      </c>
      <c r="J915" s="462" t="s">
        <v>912</v>
      </c>
    </row>
    <row r="916" customFormat="false" ht="12.8" hidden="false" customHeight="false" outlineLevel="0" collapsed="false">
      <c r="G916" s="25" t="n">
        <v>44363</v>
      </c>
      <c r="H916" s="43" t="s">
        <v>23</v>
      </c>
      <c r="I916" s="5" t="n">
        <v>-80</v>
      </c>
      <c r="J916" s="10" t="s">
        <v>37</v>
      </c>
    </row>
    <row r="917" customFormat="false" ht="12.8" hidden="false" customHeight="false" outlineLevel="0" collapsed="false">
      <c r="G917" s="25" t="n">
        <v>44363</v>
      </c>
      <c r="H917" s="43" t="s">
        <v>23</v>
      </c>
      <c r="I917" s="5" t="n">
        <v>-43.45</v>
      </c>
      <c r="J917" s="10" t="s">
        <v>37</v>
      </c>
    </row>
    <row r="918" customFormat="false" ht="12.8" hidden="false" customHeight="false" outlineLevel="0" collapsed="false">
      <c r="G918" s="25" t="n">
        <v>44363</v>
      </c>
      <c r="H918" s="43" t="s">
        <v>23</v>
      </c>
      <c r="I918" s="5" t="n">
        <v>-54</v>
      </c>
      <c r="J918" s="10" t="s">
        <v>926</v>
      </c>
    </row>
    <row r="919" customFormat="false" ht="12.8" hidden="false" customHeight="false" outlineLevel="0" collapsed="false">
      <c r="G919" s="25" t="n">
        <v>44364</v>
      </c>
      <c r="H919" s="43" t="s">
        <v>23</v>
      </c>
      <c r="I919" s="5" t="n">
        <v>-80</v>
      </c>
      <c r="J919" s="10" t="s">
        <v>37</v>
      </c>
    </row>
    <row r="920" customFormat="false" ht="12.8" hidden="false" customHeight="false" outlineLevel="0" collapsed="false">
      <c r="G920" s="25" t="n">
        <v>44364</v>
      </c>
      <c r="H920" s="43" t="s">
        <v>23</v>
      </c>
      <c r="I920" s="5" t="n">
        <v>-49.88</v>
      </c>
      <c r="J920" s="10" t="s">
        <v>37</v>
      </c>
    </row>
    <row r="921" customFormat="false" ht="12.8" hidden="false" customHeight="false" outlineLevel="0" collapsed="false">
      <c r="G921" s="25" t="n">
        <v>44365</v>
      </c>
      <c r="H921" s="43" t="s">
        <v>23</v>
      </c>
      <c r="I921" s="5" t="n">
        <v>-80</v>
      </c>
      <c r="J921" s="10" t="s">
        <v>37</v>
      </c>
    </row>
    <row r="922" customFormat="false" ht="12.8" hidden="false" customHeight="false" outlineLevel="0" collapsed="false">
      <c r="G922" s="25" t="n">
        <v>44365</v>
      </c>
      <c r="H922" s="43" t="s">
        <v>23</v>
      </c>
      <c r="I922" s="5" t="n">
        <v>-35.9</v>
      </c>
      <c r="J922" s="10" t="s">
        <v>37</v>
      </c>
    </row>
    <row r="923" customFormat="false" ht="12.8" hidden="false" customHeight="false" outlineLevel="0" collapsed="false">
      <c r="G923" s="25" t="n">
        <v>44365</v>
      </c>
      <c r="H923" s="26" t="s">
        <v>10</v>
      </c>
      <c r="I923" s="5" t="n">
        <v>-100</v>
      </c>
      <c r="J923" s="462" t="s">
        <v>38</v>
      </c>
    </row>
    <row r="924" customFormat="false" ht="12.8" hidden="false" customHeight="false" outlineLevel="0" collapsed="false">
      <c r="G924" s="25" t="n">
        <v>44365</v>
      </c>
      <c r="H924" s="32" t="s">
        <v>15</v>
      </c>
      <c r="I924" s="5" t="n">
        <v>100</v>
      </c>
      <c r="J924" s="462" t="s">
        <v>38</v>
      </c>
    </row>
    <row r="925" customFormat="false" ht="12.8" hidden="false" customHeight="false" outlineLevel="0" collapsed="false">
      <c r="G925" s="25" t="n">
        <v>44365</v>
      </c>
      <c r="H925" s="32" t="s">
        <v>15</v>
      </c>
      <c r="I925" s="5" t="n">
        <v>-100</v>
      </c>
      <c r="J925" s="462" t="s">
        <v>868</v>
      </c>
    </row>
    <row r="926" customFormat="false" ht="12.8" hidden="false" customHeight="false" outlineLevel="0" collapsed="false">
      <c r="G926" s="25" t="n">
        <v>44366</v>
      </c>
      <c r="H926" s="43" t="s">
        <v>23</v>
      </c>
      <c r="I926" s="5" t="n">
        <v>-60</v>
      </c>
      <c r="J926" s="10" t="s">
        <v>37</v>
      </c>
    </row>
    <row r="927" customFormat="false" ht="12.8" hidden="false" customHeight="false" outlineLevel="0" collapsed="false">
      <c r="G927" s="25" t="n">
        <v>44366</v>
      </c>
      <c r="H927" s="43" t="s">
        <v>23</v>
      </c>
      <c r="I927" s="5" t="n">
        <v>-37.41</v>
      </c>
      <c r="J927" s="10" t="s">
        <v>37</v>
      </c>
    </row>
    <row r="928" customFormat="false" ht="12.8" hidden="false" customHeight="false" outlineLevel="0" collapsed="false">
      <c r="G928" s="25" t="n">
        <v>44367</v>
      </c>
      <c r="H928" s="43" t="s">
        <v>23</v>
      </c>
      <c r="I928" s="5" t="n">
        <v>-60</v>
      </c>
      <c r="J928" s="10" t="s">
        <v>37</v>
      </c>
    </row>
    <row r="929" customFormat="false" ht="12.8" hidden="false" customHeight="false" outlineLevel="0" collapsed="false">
      <c r="G929" s="25" t="n">
        <v>44367</v>
      </c>
      <c r="H929" s="43" t="s">
        <v>23</v>
      </c>
      <c r="I929" s="5" t="n">
        <v>-49.07</v>
      </c>
      <c r="J929" s="10" t="s">
        <v>37</v>
      </c>
    </row>
    <row r="930" customFormat="false" ht="12.8" hidden="false" customHeight="false" outlineLevel="0" collapsed="false">
      <c r="G930" s="25" t="n">
        <v>44368</v>
      </c>
      <c r="H930" s="43" t="s">
        <v>23</v>
      </c>
      <c r="I930" s="5" t="n">
        <v>-60</v>
      </c>
      <c r="J930" s="10" t="s">
        <v>37</v>
      </c>
    </row>
    <row r="931" customFormat="false" ht="12.8" hidden="false" customHeight="false" outlineLevel="0" collapsed="false">
      <c r="G931" s="25" t="n">
        <v>44368</v>
      </c>
      <c r="H931" s="43" t="s">
        <v>23</v>
      </c>
      <c r="I931" s="5" t="n">
        <v>-43.49</v>
      </c>
      <c r="J931" s="10" t="s">
        <v>841</v>
      </c>
    </row>
    <row r="932" customFormat="false" ht="12.8" hidden="false" customHeight="false" outlineLevel="0" collapsed="false">
      <c r="G932" s="25" t="n">
        <v>44368</v>
      </c>
      <c r="H932" s="43" t="s">
        <v>23</v>
      </c>
      <c r="I932" s="5" t="n">
        <v>-33</v>
      </c>
      <c r="J932" s="10" t="s">
        <v>37</v>
      </c>
    </row>
    <row r="933" customFormat="false" ht="12.8" hidden="false" customHeight="false" outlineLevel="0" collapsed="false">
      <c r="G933" s="25" t="n">
        <v>44368</v>
      </c>
      <c r="H933" s="43" t="s">
        <v>23</v>
      </c>
      <c r="I933" s="5" t="n">
        <v>-15</v>
      </c>
      <c r="J933" s="10" t="s">
        <v>858</v>
      </c>
    </row>
    <row r="934" customFormat="false" ht="12.8" hidden="false" customHeight="false" outlineLevel="0" collapsed="false">
      <c r="G934" s="25" t="n">
        <v>44368</v>
      </c>
      <c r="H934" s="38" t="s">
        <v>21</v>
      </c>
      <c r="I934" s="5" t="n">
        <v>15</v>
      </c>
      <c r="J934" s="10" t="s">
        <v>858</v>
      </c>
      <c r="K934" s="10"/>
    </row>
    <row r="935" customFormat="false" ht="12.8" hidden="false" customHeight="false" outlineLevel="0" collapsed="false">
      <c r="G935" s="25" t="n">
        <v>44369</v>
      </c>
      <c r="H935" s="52" t="s">
        <v>14</v>
      </c>
      <c r="I935" s="5" t="n">
        <v>3.12</v>
      </c>
      <c r="J935" s="10" t="s">
        <v>40</v>
      </c>
    </row>
    <row r="936" customFormat="false" ht="12.8" hidden="false" customHeight="false" outlineLevel="0" collapsed="false">
      <c r="G936" s="25" t="n">
        <v>44369</v>
      </c>
      <c r="H936" s="52" t="s">
        <v>14</v>
      </c>
      <c r="I936" s="5" t="n">
        <v>-507</v>
      </c>
      <c r="J936" s="10" t="s">
        <v>480</v>
      </c>
    </row>
    <row r="937" customFormat="false" ht="12.8" hidden="false" customHeight="false" outlineLevel="0" collapsed="false">
      <c r="G937" s="25" t="n">
        <v>44369</v>
      </c>
      <c r="H937" s="48" t="s">
        <v>26</v>
      </c>
      <c r="I937" s="5" t="n">
        <v>507</v>
      </c>
      <c r="J937" s="10" t="s">
        <v>38</v>
      </c>
    </row>
    <row r="938" customFormat="false" ht="12.8" hidden="false" customHeight="false" outlineLevel="0" collapsed="false">
      <c r="G938" s="25" t="n">
        <v>44369</v>
      </c>
      <c r="H938" s="48" t="s">
        <v>26</v>
      </c>
      <c r="I938" s="5" t="n">
        <v>-114.65</v>
      </c>
      <c r="J938" s="10" t="s">
        <v>47</v>
      </c>
    </row>
    <row r="939" customFormat="false" ht="12.8" hidden="false" customHeight="false" outlineLevel="0" collapsed="false">
      <c r="G939" s="25" t="n">
        <v>44369</v>
      </c>
      <c r="H939" s="48" t="s">
        <v>26</v>
      </c>
      <c r="I939" s="5" t="n">
        <v>-232.54</v>
      </c>
      <c r="J939" s="10" t="s">
        <v>843</v>
      </c>
    </row>
    <row r="940" customFormat="false" ht="12.8" hidden="false" customHeight="false" outlineLevel="0" collapsed="false">
      <c r="G940" s="25" t="n">
        <v>44369</v>
      </c>
      <c r="H940" s="48" t="s">
        <v>26</v>
      </c>
      <c r="I940" s="5" t="n">
        <v>-93.55</v>
      </c>
      <c r="J940" s="10" t="s">
        <v>53</v>
      </c>
    </row>
    <row r="941" customFormat="false" ht="12.8" hidden="false" customHeight="false" outlineLevel="0" collapsed="false">
      <c r="G941" s="25" t="n">
        <v>44369</v>
      </c>
      <c r="H941" s="48" t="s">
        <v>26</v>
      </c>
      <c r="I941" s="5" t="n">
        <v>-65</v>
      </c>
      <c r="J941" s="10" t="s">
        <v>844</v>
      </c>
    </row>
    <row r="942" customFormat="false" ht="12.8" hidden="false" customHeight="false" outlineLevel="0" collapsed="false">
      <c r="G942" s="25" t="n">
        <v>44369</v>
      </c>
      <c r="H942" s="43" t="s">
        <v>23</v>
      </c>
      <c r="I942" s="5" t="n">
        <v>-60</v>
      </c>
      <c r="J942" s="10" t="s">
        <v>37</v>
      </c>
    </row>
    <row r="943" customFormat="false" ht="12.8" hidden="false" customHeight="false" outlineLevel="0" collapsed="false">
      <c r="G943" s="25" t="n">
        <v>44369</v>
      </c>
      <c r="H943" s="43" t="s">
        <v>23</v>
      </c>
      <c r="I943" s="5" t="n">
        <v>-44.31</v>
      </c>
      <c r="J943" s="10" t="s">
        <v>37</v>
      </c>
    </row>
    <row r="944" customFormat="false" ht="12.8" hidden="false" customHeight="false" outlineLevel="0" collapsed="false">
      <c r="G944" s="25" t="n">
        <v>44370</v>
      </c>
      <c r="H944" s="43" t="s">
        <v>23</v>
      </c>
      <c r="I944" s="5" t="n">
        <v>-60</v>
      </c>
      <c r="J944" s="10" t="s">
        <v>37</v>
      </c>
    </row>
    <row r="945" customFormat="false" ht="12.8" hidden="false" customHeight="false" outlineLevel="0" collapsed="false">
      <c r="G945" s="25" t="n">
        <v>44370</v>
      </c>
      <c r="H945" s="43" t="s">
        <v>23</v>
      </c>
      <c r="I945" s="5" t="n">
        <v>-43.49</v>
      </c>
      <c r="J945" s="10" t="s">
        <v>37</v>
      </c>
    </row>
    <row r="946" customFormat="false" ht="12.8" hidden="false" customHeight="false" outlineLevel="0" collapsed="false">
      <c r="G946" s="25" t="n">
        <v>44370</v>
      </c>
      <c r="H946" s="26" t="s">
        <v>10</v>
      </c>
      <c r="I946" s="5" t="n">
        <v>-200</v>
      </c>
      <c r="J946" s="10" t="s">
        <v>898</v>
      </c>
    </row>
    <row r="947" customFormat="false" ht="12.8" hidden="false" customHeight="false" outlineLevel="0" collapsed="false">
      <c r="G947" s="25" t="n">
        <v>44370</v>
      </c>
      <c r="H947" s="32" t="s">
        <v>15</v>
      </c>
      <c r="I947" s="5" t="n">
        <v>200</v>
      </c>
      <c r="J947" s="10" t="s">
        <v>898</v>
      </c>
    </row>
    <row r="948" customFormat="false" ht="12.8" hidden="false" customHeight="false" outlineLevel="0" collapsed="false">
      <c r="G948" s="25" t="n">
        <v>44371</v>
      </c>
      <c r="H948" s="43" t="s">
        <v>23</v>
      </c>
      <c r="I948" s="5" t="n">
        <v>-60</v>
      </c>
      <c r="J948" s="10" t="s">
        <v>37</v>
      </c>
    </row>
    <row r="949" customFormat="false" ht="12.8" hidden="false" customHeight="false" outlineLevel="0" collapsed="false">
      <c r="G949" s="25" t="n">
        <v>44371</v>
      </c>
      <c r="H949" s="43" t="s">
        <v>23</v>
      </c>
      <c r="I949" s="5" t="n">
        <v>-35.77</v>
      </c>
      <c r="J949" s="10" t="s">
        <v>37</v>
      </c>
    </row>
    <row r="950" customFormat="false" ht="12.8" hidden="false" customHeight="false" outlineLevel="0" collapsed="false">
      <c r="G950" s="25" t="n">
        <v>44372</v>
      </c>
      <c r="H950" s="32" t="s">
        <v>15</v>
      </c>
      <c r="I950" s="5" t="n">
        <v>-200</v>
      </c>
      <c r="J950" s="10" t="s">
        <v>853</v>
      </c>
    </row>
    <row r="951" customFormat="false" ht="12.8" hidden="false" customHeight="false" outlineLevel="0" collapsed="false">
      <c r="G951" s="25" t="n">
        <v>44372</v>
      </c>
      <c r="H951" s="43" t="s">
        <v>23</v>
      </c>
      <c r="I951" s="5" t="n">
        <v>-80</v>
      </c>
      <c r="J951" s="10" t="s">
        <v>37</v>
      </c>
    </row>
    <row r="952" customFormat="false" ht="12.8" hidden="false" customHeight="false" outlineLevel="0" collapsed="false">
      <c r="G952" s="25" t="n">
        <v>44372</v>
      </c>
      <c r="H952" s="43" t="s">
        <v>23</v>
      </c>
      <c r="I952" s="5" t="n">
        <v>-28.46</v>
      </c>
      <c r="J952" s="10" t="s">
        <v>37</v>
      </c>
    </row>
    <row r="953" customFormat="false" ht="12.8" hidden="false" customHeight="false" outlineLevel="0" collapsed="false">
      <c r="G953" s="25" t="n">
        <v>44372</v>
      </c>
      <c r="H953" s="26" t="s">
        <v>10</v>
      </c>
      <c r="I953" s="5" t="n">
        <v>-150</v>
      </c>
      <c r="J953" s="10" t="s">
        <v>38</v>
      </c>
    </row>
    <row r="954" customFormat="false" ht="12.8" hidden="false" customHeight="false" outlineLevel="0" collapsed="false">
      <c r="G954" s="25" t="n">
        <v>44372</v>
      </c>
      <c r="H954" s="32" t="s">
        <v>15</v>
      </c>
      <c r="I954" s="5" t="n">
        <v>150</v>
      </c>
      <c r="J954" s="10" t="s">
        <v>38</v>
      </c>
    </row>
    <row r="955" customFormat="false" ht="12.8" hidden="false" customHeight="false" outlineLevel="0" collapsed="false">
      <c r="G955" s="25" t="n">
        <v>44372</v>
      </c>
      <c r="H955" s="32" t="s">
        <v>15</v>
      </c>
      <c r="I955" s="5" t="n">
        <v>-150</v>
      </c>
      <c r="J955" s="10" t="s">
        <v>868</v>
      </c>
    </row>
    <row r="956" customFormat="false" ht="12.8" hidden="false" customHeight="false" outlineLevel="0" collapsed="false">
      <c r="G956" s="25" t="n">
        <v>44373</v>
      </c>
      <c r="H956" s="43" t="s">
        <v>23</v>
      </c>
      <c r="I956" s="5" t="n">
        <v>-60</v>
      </c>
      <c r="J956" s="10" t="s">
        <v>37</v>
      </c>
    </row>
    <row r="957" customFormat="false" ht="12.8" hidden="false" customHeight="false" outlineLevel="0" collapsed="false">
      <c r="G957" s="25" t="n">
        <v>44373</v>
      </c>
      <c r="H957" s="43" t="s">
        <v>23</v>
      </c>
      <c r="I957" s="5" t="n">
        <v>-32.05</v>
      </c>
      <c r="J957" s="10" t="s">
        <v>37</v>
      </c>
    </row>
    <row r="958" customFormat="false" ht="12.8" hidden="false" customHeight="false" outlineLevel="0" collapsed="false">
      <c r="G958" s="25" t="n">
        <v>44374</v>
      </c>
      <c r="H958" s="52" t="s">
        <v>14</v>
      </c>
      <c r="I958" s="5" t="n">
        <v>-65</v>
      </c>
      <c r="J958" s="10" t="s">
        <v>480</v>
      </c>
    </row>
    <row r="959" customFormat="false" ht="12.8" hidden="false" customHeight="false" outlineLevel="0" collapsed="false">
      <c r="G959" s="25" t="n">
        <v>44374</v>
      </c>
      <c r="H959" s="48" t="s">
        <v>26</v>
      </c>
      <c r="I959" s="5" t="n">
        <v>65</v>
      </c>
      <c r="J959" s="10" t="s">
        <v>480</v>
      </c>
    </row>
    <row r="960" customFormat="false" ht="12.8" hidden="false" customHeight="false" outlineLevel="0" collapsed="false">
      <c r="G960" s="25" t="n">
        <v>44374</v>
      </c>
      <c r="H960" s="43" t="s">
        <v>23</v>
      </c>
      <c r="I960" s="5" t="n">
        <v>-60</v>
      </c>
      <c r="J960" s="10" t="s">
        <v>37</v>
      </c>
    </row>
    <row r="961" customFormat="false" ht="12.8" hidden="false" customHeight="false" outlineLevel="0" collapsed="false">
      <c r="G961" s="25" t="n">
        <v>44374</v>
      </c>
      <c r="H961" s="43" t="s">
        <v>23</v>
      </c>
      <c r="I961" s="5" t="n">
        <v>-25.41</v>
      </c>
      <c r="J961" s="10" t="s">
        <v>37</v>
      </c>
    </row>
    <row r="962" customFormat="false" ht="12.8" hidden="false" customHeight="false" outlineLevel="0" collapsed="false">
      <c r="G962" s="25" t="n">
        <v>44375</v>
      </c>
      <c r="H962" s="48" t="s">
        <v>26</v>
      </c>
      <c r="I962" s="5" t="n">
        <v>-65</v>
      </c>
      <c r="J962" s="462" t="s">
        <v>462</v>
      </c>
    </row>
    <row r="963" customFormat="false" ht="12.8" hidden="false" customHeight="false" outlineLevel="0" collapsed="false">
      <c r="G963" s="25" t="n">
        <v>44375</v>
      </c>
      <c r="H963" s="52" t="s">
        <v>14</v>
      </c>
      <c r="I963" s="5" t="n">
        <v>65.72</v>
      </c>
      <c r="J963" s="462" t="s">
        <v>927</v>
      </c>
    </row>
    <row r="964" customFormat="false" ht="12.8" hidden="false" customHeight="false" outlineLevel="0" collapsed="false">
      <c r="G964" s="25" t="n">
        <v>44375</v>
      </c>
      <c r="H964" s="43" t="s">
        <v>23</v>
      </c>
      <c r="I964" s="5" t="n">
        <v>-60</v>
      </c>
      <c r="J964" s="10" t="s">
        <v>37</v>
      </c>
    </row>
    <row r="965" customFormat="false" ht="12.8" hidden="false" customHeight="false" outlineLevel="0" collapsed="false">
      <c r="G965" s="25" t="n">
        <v>44375</v>
      </c>
      <c r="H965" s="43" t="s">
        <v>23</v>
      </c>
      <c r="I965" s="5" t="n">
        <v>-25.27</v>
      </c>
      <c r="J965" s="10" t="s">
        <v>37</v>
      </c>
    </row>
    <row r="966" customFormat="false" ht="12.8" hidden="false" customHeight="false" outlineLevel="0" collapsed="false">
      <c r="G966" s="25" t="n">
        <v>44376</v>
      </c>
      <c r="H966" s="52" t="s">
        <v>14</v>
      </c>
      <c r="I966" s="5" t="n">
        <v>-12.88</v>
      </c>
      <c r="J966" s="10" t="s">
        <v>928</v>
      </c>
    </row>
    <row r="967" customFormat="false" ht="12.8" hidden="false" customHeight="false" outlineLevel="0" collapsed="false">
      <c r="G967" s="25" t="n">
        <v>44376</v>
      </c>
      <c r="H967" s="48" t="s">
        <v>26</v>
      </c>
      <c r="I967" s="5" t="n">
        <v>13</v>
      </c>
      <c r="J967" s="10" t="s">
        <v>929</v>
      </c>
    </row>
    <row r="968" customFormat="false" ht="12.8" hidden="false" customHeight="false" outlineLevel="0" collapsed="false">
      <c r="G968" s="25" t="n">
        <v>44376</v>
      </c>
      <c r="H968" s="43" t="s">
        <v>23</v>
      </c>
      <c r="I968" s="5" t="n">
        <v>-64.19</v>
      </c>
      <c r="J968" s="10" t="s">
        <v>37</v>
      </c>
    </row>
    <row r="969" customFormat="false" ht="12.8" hidden="false" customHeight="false" outlineLevel="0" collapsed="false">
      <c r="G969" s="25" t="n">
        <v>44376</v>
      </c>
      <c r="H969" s="43" t="s">
        <v>23</v>
      </c>
      <c r="I969" s="5" t="n">
        <v>-32.79</v>
      </c>
      <c r="J969" s="10" t="s">
        <v>37</v>
      </c>
    </row>
    <row r="970" customFormat="false" ht="12.8" hidden="false" customHeight="false" outlineLevel="0" collapsed="false">
      <c r="G970" s="25" t="n">
        <v>44376</v>
      </c>
      <c r="H970" s="26" t="s">
        <v>10</v>
      </c>
      <c r="I970" s="5" t="n">
        <v>-100</v>
      </c>
      <c r="J970" s="10" t="s">
        <v>38</v>
      </c>
    </row>
    <row r="971" customFormat="false" ht="12.8" hidden="false" customHeight="false" outlineLevel="0" collapsed="false">
      <c r="G971" s="25" t="n">
        <v>44376</v>
      </c>
      <c r="H971" s="32" t="s">
        <v>15</v>
      </c>
      <c r="I971" s="5" t="n">
        <v>100</v>
      </c>
      <c r="J971" s="10" t="s">
        <v>38</v>
      </c>
    </row>
    <row r="972" customFormat="false" ht="12.8" hidden="false" customHeight="false" outlineLevel="0" collapsed="false">
      <c r="G972" s="25" t="n">
        <v>44376</v>
      </c>
      <c r="H972" s="32" t="s">
        <v>15</v>
      </c>
      <c r="I972" s="5" t="n">
        <v>-100</v>
      </c>
      <c r="J972" s="10" t="s">
        <v>868</v>
      </c>
    </row>
    <row r="973" customFormat="false" ht="12.8" hidden="false" customHeight="false" outlineLevel="0" collapsed="false">
      <c r="G973" s="25" t="n">
        <v>44377</v>
      </c>
      <c r="H973" s="43" t="s">
        <v>23</v>
      </c>
      <c r="I973" s="5" t="n">
        <v>-64.19</v>
      </c>
      <c r="J973" s="10" t="s">
        <v>37</v>
      </c>
    </row>
    <row r="974" customFormat="false" ht="12.8" hidden="false" customHeight="false" outlineLevel="0" collapsed="false">
      <c r="G974" s="25" t="n">
        <v>44377</v>
      </c>
      <c r="H974" s="43" t="s">
        <v>23</v>
      </c>
      <c r="I974" s="5" t="n">
        <v>-27.23</v>
      </c>
      <c r="J974" s="10" t="s">
        <v>37</v>
      </c>
    </row>
    <row r="975" customFormat="false" ht="12.8" hidden="false" customHeight="false" outlineLevel="0" collapsed="false">
      <c r="G975" s="25" t="n">
        <v>44377</v>
      </c>
      <c r="H975" s="43" t="s">
        <v>23</v>
      </c>
      <c r="I975" s="5" t="n">
        <v>-5</v>
      </c>
      <c r="J975" s="10" t="s">
        <v>930</v>
      </c>
    </row>
    <row r="976" customFormat="false" ht="12.8" hidden="false" customHeight="false" outlineLevel="0" collapsed="false">
      <c r="G976" s="25" t="n">
        <v>44377</v>
      </c>
      <c r="H976" s="48" t="s">
        <v>26</v>
      </c>
      <c r="I976" s="5" t="n">
        <v>-15</v>
      </c>
      <c r="J976" s="10" t="s">
        <v>930</v>
      </c>
    </row>
    <row r="977" customFormat="false" ht="12.8" hidden="false" customHeight="false" outlineLevel="0" collapsed="false">
      <c r="G977" s="25" t="n">
        <v>44378</v>
      </c>
      <c r="H977" s="38" t="s">
        <v>21</v>
      </c>
      <c r="I977" s="5" t="n">
        <v>-15</v>
      </c>
      <c r="J977" s="10" t="s">
        <v>930</v>
      </c>
    </row>
    <row r="978" customFormat="false" ht="12.8" hidden="false" customHeight="false" outlineLevel="0" collapsed="false">
      <c r="G978" s="25" t="n">
        <v>44378</v>
      </c>
      <c r="H978" s="43" t="s">
        <v>23</v>
      </c>
      <c r="I978" s="5" t="n">
        <v>-60</v>
      </c>
      <c r="J978" s="10" t="s">
        <v>37</v>
      </c>
    </row>
    <row r="979" customFormat="false" ht="12.8" hidden="false" customHeight="false" outlineLevel="0" collapsed="false">
      <c r="G979" s="25" t="n">
        <v>44378</v>
      </c>
      <c r="H979" s="43" t="s">
        <v>23</v>
      </c>
      <c r="I979" s="5" t="n">
        <v>-29.87</v>
      </c>
      <c r="J979" s="10" t="s">
        <v>37</v>
      </c>
    </row>
    <row r="980" customFormat="false" ht="12.8" hidden="false" customHeight="false" outlineLevel="0" collapsed="false">
      <c r="G980" s="25" t="n">
        <v>44379</v>
      </c>
      <c r="H980" s="43" t="s">
        <v>23</v>
      </c>
      <c r="I980" s="5" t="n">
        <v>-80</v>
      </c>
      <c r="J980" s="10" t="s">
        <v>37</v>
      </c>
    </row>
    <row r="981" customFormat="false" ht="12.8" hidden="false" customHeight="false" outlineLevel="0" collapsed="false">
      <c r="G981" s="25" t="n">
        <v>44379</v>
      </c>
      <c r="H981" s="26" t="s">
        <v>10</v>
      </c>
      <c r="I981" s="5" t="n">
        <v>-30</v>
      </c>
      <c r="J981" s="10" t="s">
        <v>38</v>
      </c>
    </row>
    <row r="982" customFormat="false" ht="12.8" hidden="false" customHeight="false" outlineLevel="0" collapsed="false">
      <c r="G982" s="25" t="n">
        <v>44379</v>
      </c>
      <c r="H982" s="32" t="s">
        <v>15</v>
      </c>
      <c r="I982" s="5" t="n">
        <v>30</v>
      </c>
      <c r="J982" s="10" t="s">
        <v>38</v>
      </c>
    </row>
    <row r="983" customFormat="false" ht="12.8" hidden="false" customHeight="false" outlineLevel="0" collapsed="false">
      <c r="G983" s="25" t="n">
        <v>44379</v>
      </c>
      <c r="H983" s="32" t="s">
        <v>15</v>
      </c>
      <c r="I983" s="5" t="n">
        <v>-29.8</v>
      </c>
      <c r="J983" s="10" t="s">
        <v>37</v>
      </c>
    </row>
    <row r="984" customFormat="false" ht="12.8" hidden="false" customHeight="false" outlineLevel="0" collapsed="false">
      <c r="G984" s="25" t="n">
        <v>44380</v>
      </c>
      <c r="H984" s="43" t="s">
        <v>23</v>
      </c>
      <c r="I984" s="5" t="n">
        <v>-60</v>
      </c>
      <c r="J984" s="10" t="s">
        <v>37</v>
      </c>
    </row>
    <row r="985" customFormat="false" ht="12.8" hidden="false" customHeight="false" outlineLevel="0" collapsed="false">
      <c r="G985" s="25" t="n">
        <v>44380</v>
      </c>
      <c r="H985" s="26" t="s">
        <v>10</v>
      </c>
      <c r="I985" s="5" t="n">
        <v>-30</v>
      </c>
      <c r="J985" s="10" t="s">
        <v>38</v>
      </c>
    </row>
    <row r="986" customFormat="false" ht="12.8" hidden="false" customHeight="false" outlineLevel="0" collapsed="false">
      <c r="G986" s="25" t="n">
        <v>44380</v>
      </c>
      <c r="H986" s="32" t="s">
        <v>15</v>
      </c>
      <c r="I986" s="5" t="n">
        <v>30</v>
      </c>
      <c r="J986" s="10" t="s">
        <v>38</v>
      </c>
    </row>
    <row r="987" customFormat="false" ht="12.8" hidden="false" customHeight="false" outlineLevel="0" collapsed="false">
      <c r="G987" s="25" t="n">
        <v>44380</v>
      </c>
      <c r="H987" s="32" t="s">
        <v>15</v>
      </c>
      <c r="I987" s="5" t="n">
        <v>-28.76</v>
      </c>
      <c r="J987" s="10" t="s">
        <v>37</v>
      </c>
    </row>
    <row r="988" customFormat="false" ht="12.8" hidden="false" customHeight="false" outlineLevel="0" collapsed="false">
      <c r="G988" s="25" t="n">
        <v>44378</v>
      </c>
      <c r="H988" s="26" t="s">
        <v>10</v>
      </c>
      <c r="I988" s="5" t="n">
        <v>0.34</v>
      </c>
      <c r="J988" s="54" t="s">
        <v>930</v>
      </c>
    </row>
    <row r="989" customFormat="false" ht="12.8" hidden="false" customHeight="false" outlineLevel="0" collapsed="false">
      <c r="G989" s="25" t="n">
        <v>44381</v>
      </c>
      <c r="H989" s="26" t="s">
        <v>10</v>
      </c>
      <c r="I989" s="5" t="n">
        <v>-88</v>
      </c>
      <c r="J989" s="54" t="s">
        <v>38</v>
      </c>
    </row>
    <row r="990" customFormat="false" ht="12.8" hidden="false" customHeight="false" outlineLevel="0" collapsed="false">
      <c r="G990" s="25" t="n">
        <v>44381</v>
      </c>
      <c r="H990" s="32" t="s">
        <v>15</v>
      </c>
      <c r="I990" s="5" t="n">
        <v>88</v>
      </c>
      <c r="J990" s="54" t="s">
        <v>38</v>
      </c>
    </row>
    <row r="991" customFormat="false" ht="12.8" hidden="false" customHeight="false" outlineLevel="0" collapsed="false">
      <c r="G991" s="25" t="n">
        <v>44381</v>
      </c>
      <c r="H991" s="32" t="s">
        <v>15</v>
      </c>
      <c r="I991" s="5" t="n">
        <v>-60</v>
      </c>
      <c r="J991" s="54" t="s">
        <v>37</v>
      </c>
    </row>
    <row r="992" customFormat="false" ht="12.8" hidden="false" customHeight="false" outlineLevel="0" collapsed="false">
      <c r="G992" s="25" t="n">
        <v>44381</v>
      </c>
      <c r="H992" s="32" t="s">
        <v>15</v>
      </c>
      <c r="I992" s="5" t="n">
        <v>-30.28</v>
      </c>
      <c r="J992" s="54" t="s">
        <v>37</v>
      </c>
    </row>
    <row r="993" customFormat="false" ht="12.8" hidden="false" customHeight="false" outlineLevel="0" collapsed="false">
      <c r="G993" s="25" t="n">
        <v>44382</v>
      </c>
      <c r="H993" s="26" t="s">
        <v>10</v>
      </c>
      <c r="I993" s="5" t="n">
        <v>-60</v>
      </c>
      <c r="J993" s="54" t="s">
        <v>38</v>
      </c>
    </row>
    <row r="994" customFormat="false" ht="12.8" hidden="false" customHeight="false" outlineLevel="0" collapsed="false">
      <c r="G994" s="25" t="n">
        <v>44382</v>
      </c>
      <c r="H994" s="32" t="s">
        <v>15</v>
      </c>
      <c r="I994" s="5" t="n">
        <v>60</v>
      </c>
      <c r="J994" s="54" t="s">
        <v>38</v>
      </c>
    </row>
    <row r="995" customFormat="false" ht="12.8" hidden="false" customHeight="false" outlineLevel="0" collapsed="false">
      <c r="G995" s="25" t="n">
        <v>44382</v>
      </c>
      <c r="H995" s="32" t="s">
        <v>15</v>
      </c>
      <c r="I995" s="5" t="n">
        <v>-60</v>
      </c>
      <c r="J995" s="54" t="s">
        <v>37</v>
      </c>
    </row>
    <row r="996" customFormat="false" ht="12.8" hidden="false" customHeight="false" outlineLevel="0" collapsed="false">
      <c r="G996" s="25" t="n">
        <v>44382</v>
      </c>
      <c r="H996" s="48" t="s">
        <v>26</v>
      </c>
      <c r="I996" s="5" t="n">
        <v>4411.58</v>
      </c>
      <c r="J996" s="462" t="s">
        <v>924</v>
      </c>
    </row>
    <row r="997" customFormat="false" ht="12.8" hidden="false" customHeight="false" outlineLevel="0" collapsed="false">
      <c r="G997" s="25" t="n">
        <v>44382</v>
      </c>
      <c r="H997" s="48" t="s">
        <v>26</v>
      </c>
      <c r="I997" s="5" t="n">
        <v>-1500</v>
      </c>
      <c r="J997" s="10" t="s">
        <v>931</v>
      </c>
    </row>
    <row r="998" customFormat="false" ht="12.8" hidden="false" customHeight="false" outlineLevel="0" collapsed="false">
      <c r="G998" s="25" t="n">
        <v>44382</v>
      </c>
      <c r="H998" s="48" t="s">
        <v>26</v>
      </c>
      <c r="I998" s="5" t="n">
        <v>-208</v>
      </c>
      <c r="J998" s="10" t="s">
        <v>56</v>
      </c>
    </row>
    <row r="999" customFormat="false" ht="12.8" hidden="false" customHeight="false" outlineLevel="0" collapsed="false">
      <c r="G999" s="25" t="n">
        <v>44382</v>
      </c>
      <c r="H999" s="52" t="s">
        <v>14</v>
      </c>
      <c r="I999" s="5" t="n">
        <v>208</v>
      </c>
      <c r="J999" s="10" t="s">
        <v>56</v>
      </c>
    </row>
    <row r="1000" customFormat="false" ht="12.8" hidden="false" customHeight="false" outlineLevel="0" collapsed="false">
      <c r="G1000" s="25" t="n">
        <v>44382</v>
      </c>
      <c r="H1000" s="48" t="s">
        <v>26</v>
      </c>
      <c r="I1000" s="5" t="n">
        <v>-2700</v>
      </c>
      <c r="J1000" s="10" t="s">
        <v>146</v>
      </c>
    </row>
    <row r="1001" customFormat="false" ht="12.8" hidden="false" customHeight="false" outlineLevel="0" collapsed="false">
      <c r="G1001" s="25" t="n">
        <v>44382</v>
      </c>
      <c r="H1001" s="48" t="s">
        <v>26</v>
      </c>
      <c r="I1001" s="5" t="n">
        <v>-3</v>
      </c>
      <c r="J1001" s="10" t="s">
        <v>932</v>
      </c>
    </row>
    <row r="1002" customFormat="false" ht="12.8" hidden="false" customHeight="false" outlineLevel="0" collapsed="false">
      <c r="G1002" s="25" t="n">
        <v>44382</v>
      </c>
      <c r="H1002" s="32" t="s">
        <v>15</v>
      </c>
      <c r="I1002" s="5" t="n">
        <v>2700</v>
      </c>
      <c r="J1002" s="10" t="s">
        <v>146</v>
      </c>
    </row>
    <row r="1003" customFormat="false" ht="12.8" hidden="false" customHeight="false" outlineLevel="0" collapsed="false">
      <c r="G1003" s="25" t="n">
        <v>44382</v>
      </c>
      <c r="H1003" s="26" t="s">
        <v>10</v>
      </c>
      <c r="I1003" s="5" t="n">
        <v>-31.34</v>
      </c>
      <c r="J1003" s="54" t="s">
        <v>38</v>
      </c>
    </row>
    <row r="1004" customFormat="false" ht="12.8" hidden="false" customHeight="false" outlineLevel="0" collapsed="false">
      <c r="G1004" s="25" t="n">
        <v>44382</v>
      </c>
      <c r="H1004" s="32" t="s">
        <v>15</v>
      </c>
      <c r="I1004" s="5" t="n">
        <v>31.13</v>
      </c>
      <c r="J1004" s="54" t="s">
        <v>38</v>
      </c>
    </row>
    <row r="1005" customFormat="false" ht="12.8" hidden="false" customHeight="false" outlineLevel="0" collapsed="false">
      <c r="G1005" s="25" t="n">
        <v>44382</v>
      </c>
      <c r="H1005" s="32" t="s">
        <v>15</v>
      </c>
      <c r="I1005" s="5" t="n">
        <v>-2000</v>
      </c>
      <c r="J1005" s="54" t="s">
        <v>462</v>
      </c>
    </row>
    <row r="1006" customFormat="false" ht="12.8" hidden="false" customHeight="false" outlineLevel="0" collapsed="false">
      <c r="G1006" s="25" t="n">
        <v>44382</v>
      </c>
      <c r="H1006" s="26" t="s">
        <v>10</v>
      </c>
      <c r="I1006" s="5" t="n">
        <v>2000</v>
      </c>
      <c r="J1006" s="54" t="s">
        <v>462</v>
      </c>
    </row>
    <row r="1007" customFormat="false" ht="12.8" hidden="false" customHeight="false" outlineLevel="0" collapsed="false">
      <c r="G1007" s="25" t="n">
        <v>44382</v>
      </c>
      <c r="H1007" s="32" t="s">
        <v>15</v>
      </c>
      <c r="I1007" s="5" t="n">
        <v>-28.76</v>
      </c>
      <c r="J1007" s="54" t="s">
        <v>37</v>
      </c>
    </row>
    <row r="1008" customFormat="false" ht="12.8" hidden="false" customHeight="false" outlineLevel="0" collapsed="false">
      <c r="G1008" s="25" t="n">
        <v>44382</v>
      </c>
      <c r="H1008" s="32" t="s">
        <v>15</v>
      </c>
      <c r="I1008" s="5" t="n">
        <v>-700</v>
      </c>
      <c r="J1008" s="54" t="s">
        <v>44</v>
      </c>
    </row>
    <row r="1009" customFormat="false" ht="12.8" hidden="false" customHeight="false" outlineLevel="0" collapsed="false">
      <c r="G1009" s="25" t="n">
        <v>44383</v>
      </c>
      <c r="H1009" s="26" t="s">
        <v>10</v>
      </c>
      <c r="I1009" s="5" t="n">
        <v>-85</v>
      </c>
      <c r="J1009" s="54" t="s">
        <v>38</v>
      </c>
    </row>
    <row r="1010" customFormat="false" ht="12.8" hidden="false" customHeight="false" outlineLevel="0" collapsed="false">
      <c r="G1010" s="25" t="n">
        <v>44383</v>
      </c>
      <c r="H1010" s="32" t="s">
        <v>15</v>
      </c>
      <c r="I1010" s="5" t="n">
        <v>85</v>
      </c>
      <c r="J1010" s="54" t="s">
        <v>38</v>
      </c>
    </row>
    <row r="1011" customFormat="false" ht="12.8" hidden="false" customHeight="false" outlineLevel="0" collapsed="false">
      <c r="G1011" s="25" t="n">
        <v>44383</v>
      </c>
      <c r="H1011" s="32" t="s">
        <v>15</v>
      </c>
      <c r="I1011" s="5" t="n">
        <v>1.23</v>
      </c>
      <c r="J1011" s="54" t="s">
        <v>930</v>
      </c>
    </row>
    <row r="1012" customFormat="false" ht="12.8" hidden="false" customHeight="false" outlineLevel="0" collapsed="false">
      <c r="G1012" s="25" t="n">
        <v>44383</v>
      </c>
      <c r="H1012" s="32" t="s">
        <v>15</v>
      </c>
      <c r="I1012" s="5" t="n">
        <v>-80</v>
      </c>
      <c r="J1012" s="54" t="s">
        <v>37</v>
      </c>
      <c r="L1012" s="19"/>
    </row>
    <row r="1013" customFormat="false" ht="12.8" hidden="false" customHeight="false" outlineLevel="0" collapsed="false">
      <c r="G1013" s="25" t="n">
        <v>44383</v>
      </c>
      <c r="H1013" s="26" t="s">
        <v>10</v>
      </c>
      <c r="I1013" s="5" t="n">
        <v>-223</v>
      </c>
      <c r="J1013" s="54" t="s">
        <v>38</v>
      </c>
      <c r="L1013" s="19"/>
      <c r="M1013" s="470"/>
    </row>
    <row r="1014" customFormat="false" ht="12.8" hidden="false" customHeight="false" outlineLevel="0" collapsed="false">
      <c r="G1014" s="25" t="n">
        <v>44383</v>
      </c>
      <c r="H1014" s="32" t="s">
        <v>15</v>
      </c>
      <c r="I1014" s="5" t="n">
        <v>223</v>
      </c>
      <c r="J1014" s="54" t="s">
        <v>38</v>
      </c>
      <c r="L1014" s="19"/>
      <c r="M1014" s="470"/>
    </row>
    <row r="1015" customFormat="false" ht="12.8" hidden="false" customHeight="false" outlineLevel="0" collapsed="false">
      <c r="G1015" s="25" t="n">
        <v>44383</v>
      </c>
      <c r="H1015" s="32" t="s">
        <v>15</v>
      </c>
      <c r="I1015" s="5" t="n">
        <v>-200</v>
      </c>
      <c r="J1015" s="54" t="s">
        <v>868</v>
      </c>
      <c r="L1015" s="19"/>
      <c r="M1015" s="470"/>
    </row>
    <row r="1016" customFormat="false" ht="12.8" hidden="false" customHeight="false" outlineLevel="0" collapsed="false">
      <c r="G1016" s="25" t="n">
        <v>44383</v>
      </c>
      <c r="H1016" s="32" t="s">
        <v>15</v>
      </c>
      <c r="I1016" s="5" t="n">
        <v>-29.79</v>
      </c>
      <c r="J1016" s="54" t="s">
        <v>37</v>
      </c>
      <c r="L1016" s="19"/>
      <c r="M1016" s="470"/>
    </row>
    <row r="1017" customFormat="false" ht="12.8" hidden="false" customHeight="false" outlineLevel="0" collapsed="false">
      <c r="G1017" s="25" t="n">
        <v>44384</v>
      </c>
      <c r="H1017" s="26" t="s">
        <v>10</v>
      </c>
      <c r="I1017" s="5" t="n">
        <v>-90</v>
      </c>
      <c r="J1017" s="54" t="s">
        <v>38</v>
      </c>
      <c r="L1017" s="19"/>
      <c r="M1017" s="470"/>
    </row>
    <row r="1018" customFormat="false" ht="12.8" hidden="false" customHeight="false" outlineLevel="0" collapsed="false">
      <c r="G1018" s="25" t="n">
        <v>44384</v>
      </c>
      <c r="H1018" s="32" t="s">
        <v>15</v>
      </c>
      <c r="I1018" s="5" t="n">
        <v>90</v>
      </c>
      <c r="J1018" s="54" t="s">
        <v>38</v>
      </c>
      <c r="L1018" s="19"/>
      <c r="M1018" s="470"/>
    </row>
    <row r="1019" customFormat="false" ht="12.8" hidden="false" customHeight="false" outlineLevel="0" collapsed="false">
      <c r="G1019" s="25" t="n">
        <v>44384</v>
      </c>
      <c r="H1019" s="32" t="s">
        <v>15</v>
      </c>
      <c r="I1019" s="5" t="n">
        <v>-60</v>
      </c>
      <c r="J1019" s="54" t="s">
        <v>37</v>
      </c>
      <c r="L1019" s="19"/>
      <c r="M1019" s="470"/>
    </row>
    <row r="1020" customFormat="false" ht="12.8" hidden="false" customHeight="false" outlineLevel="0" collapsed="false">
      <c r="G1020" s="25" t="n">
        <v>44385</v>
      </c>
      <c r="H1020" s="26" t="s">
        <v>10</v>
      </c>
      <c r="I1020" s="5" t="n">
        <v>-60</v>
      </c>
      <c r="J1020" s="54" t="s">
        <v>38</v>
      </c>
      <c r="L1020" s="19"/>
      <c r="M1020" s="470"/>
    </row>
    <row r="1021" customFormat="false" ht="12.8" hidden="false" customHeight="false" outlineLevel="0" collapsed="false">
      <c r="G1021" s="25" t="n">
        <v>44385</v>
      </c>
      <c r="H1021" s="32" t="s">
        <v>15</v>
      </c>
      <c r="I1021" s="5" t="n">
        <v>60</v>
      </c>
      <c r="J1021" s="54" t="s">
        <v>38</v>
      </c>
      <c r="L1021" s="19"/>
      <c r="M1021" s="470"/>
    </row>
    <row r="1022" customFormat="false" ht="12.8" hidden="false" customHeight="false" outlineLevel="0" collapsed="false">
      <c r="G1022" s="25" t="n">
        <v>44385</v>
      </c>
      <c r="H1022" s="32" t="s">
        <v>15</v>
      </c>
      <c r="I1022" s="5" t="n">
        <v>-60</v>
      </c>
      <c r="J1022" s="54" t="s">
        <v>37</v>
      </c>
      <c r="L1022" s="19"/>
      <c r="M1022" s="470"/>
    </row>
    <row r="1023" customFormat="false" ht="12.8" hidden="false" customHeight="false" outlineLevel="0" collapsed="false">
      <c r="G1023" s="25" t="n">
        <v>44385</v>
      </c>
      <c r="H1023" s="32" t="s">
        <v>15</v>
      </c>
      <c r="I1023" s="5" t="n">
        <v>-27.1</v>
      </c>
      <c r="J1023" s="54" t="s">
        <v>37</v>
      </c>
      <c r="L1023" s="19"/>
      <c r="M1023" s="470"/>
    </row>
    <row r="1024" customFormat="false" ht="12.8" hidden="false" customHeight="false" outlineLevel="0" collapsed="false">
      <c r="G1024" s="25" t="n">
        <v>44386</v>
      </c>
      <c r="H1024" s="26" t="s">
        <v>10</v>
      </c>
      <c r="I1024" s="5" t="n">
        <v>-60</v>
      </c>
      <c r="J1024" s="54" t="s">
        <v>38</v>
      </c>
      <c r="L1024" s="19"/>
      <c r="M1024" s="470"/>
    </row>
    <row r="1025" customFormat="false" ht="12.8" hidden="false" customHeight="false" outlineLevel="0" collapsed="false">
      <c r="G1025" s="25" t="n">
        <v>44386</v>
      </c>
      <c r="H1025" s="32" t="s">
        <v>15</v>
      </c>
      <c r="I1025" s="5" t="n">
        <v>60</v>
      </c>
      <c r="J1025" s="54" t="s">
        <v>38</v>
      </c>
      <c r="L1025" s="19"/>
      <c r="M1025" s="470"/>
    </row>
    <row r="1026" customFormat="false" ht="12.8" hidden="false" customHeight="false" outlineLevel="0" collapsed="false">
      <c r="G1026" s="25" t="n">
        <v>44386</v>
      </c>
      <c r="H1026" s="32" t="s">
        <v>15</v>
      </c>
      <c r="I1026" s="5" t="n">
        <v>-60</v>
      </c>
      <c r="J1026" s="54" t="s">
        <v>37</v>
      </c>
      <c r="M1026" s="470"/>
    </row>
    <row r="1027" customFormat="false" ht="12.8" hidden="false" customHeight="false" outlineLevel="0" collapsed="false">
      <c r="G1027" s="25" t="n">
        <v>44386</v>
      </c>
      <c r="H1027" s="26" t="s">
        <v>10</v>
      </c>
      <c r="I1027" s="5" t="n">
        <v>-27</v>
      </c>
      <c r="J1027" s="54" t="s">
        <v>38</v>
      </c>
    </row>
    <row r="1028" customFormat="false" ht="12.8" hidden="false" customHeight="false" outlineLevel="0" collapsed="false">
      <c r="G1028" s="25" t="n">
        <v>44386</v>
      </c>
      <c r="H1028" s="32" t="s">
        <v>15</v>
      </c>
      <c r="I1028" s="5" t="n">
        <v>27</v>
      </c>
      <c r="J1028" s="54" t="s">
        <v>38</v>
      </c>
    </row>
    <row r="1029" customFormat="false" ht="12.8" hidden="false" customHeight="false" outlineLevel="0" collapsed="false">
      <c r="G1029" s="25" t="n">
        <v>44386</v>
      </c>
      <c r="H1029" s="32" t="s">
        <v>15</v>
      </c>
      <c r="I1029" s="5" t="n">
        <v>-26.16</v>
      </c>
      <c r="J1029" s="54" t="s">
        <v>37</v>
      </c>
    </row>
    <row r="1030" customFormat="false" ht="12.8" hidden="false" customHeight="false" outlineLevel="0" collapsed="false">
      <c r="G1030" s="25" t="n">
        <v>44387</v>
      </c>
      <c r="H1030" s="26" t="s">
        <v>10</v>
      </c>
      <c r="I1030" s="5" t="n">
        <v>-75</v>
      </c>
      <c r="J1030" s="54" t="s">
        <v>38</v>
      </c>
    </row>
    <row r="1031" customFormat="false" ht="12.8" hidden="false" customHeight="false" outlineLevel="0" collapsed="false">
      <c r="G1031" s="25" t="n">
        <v>44387</v>
      </c>
      <c r="H1031" s="32" t="s">
        <v>15</v>
      </c>
      <c r="I1031" s="5" t="n">
        <v>75</v>
      </c>
      <c r="J1031" s="54" t="s">
        <v>38</v>
      </c>
    </row>
    <row r="1032" customFormat="false" ht="12.8" hidden="false" customHeight="false" outlineLevel="0" collapsed="false">
      <c r="G1032" s="25" t="n">
        <v>44387</v>
      </c>
      <c r="H1032" s="32" t="s">
        <v>15</v>
      </c>
      <c r="I1032" s="5" t="n">
        <v>-80</v>
      </c>
      <c r="J1032" s="54" t="s">
        <v>37</v>
      </c>
    </row>
    <row r="1033" customFormat="false" ht="12.8" hidden="false" customHeight="false" outlineLevel="0" collapsed="false">
      <c r="G1033" s="25" t="n">
        <v>44387</v>
      </c>
      <c r="H1033" s="26" t="s">
        <v>10</v>
      </c>
      <c r="I1033" s="5" t="n">
        <v>-33</v>
      </c>
      <c r="J1033" s="54" t="s">
        <v>38</v>
      </c>
    </row>
    <row r="1034" customFormat="false" ht="12.8" hidden="false" customHeight="false" outlineLevel="0" collapsed="false">
      <c r="G1034" s="25" t="n">
        <v>44387</v>
      </c>
      <c r="H1034" s="32" t="s">
        <v>15</v>
      </c>
      <c r="I1034" s="5" t="n">
        <v>33</v>
      </c>
      <c r="J1034" s="54" t="s">
        <v>38</v>
      </c>
    </row>
    <row r="1035" customFormat="false" ht="12.8" hidden="false" customHeight="false" outlineLevel="0" collapsed="false">
      <c r="G1035" s="25" t="n">
        <v>44387</v>
      </c>
      <c r="H1035" s="32" t="s">
        <v>15</v>
      </c>
      <c r="I1035" s="5" t="n">
        <v>-24.04</v>
      </c>
      <c r="J1035" s="54" t="s">
        <v>37</v>
      </c>
    </row>
    <row r="1036" customFormat="false" ht="12.8" hidden="false" customHeight="false" outlineLevel="0" collapsed="false">
      <c r="G1036" s="25" t="n">
        <v>44388</v>
      </c>
      <c r="H1036" s="26" t="s">
        <v>10</v>
      </c>
      <c r="I1036" s="5" t="n">
        <v>-90</v>
      </c>
      <c r="J1036" s="54" t="s">
        <v>38</v>
      </c>
    </row>
    <row r="1037" customFormat="false" ht="12.8" hidden="false" customHeight="false" outlineLevel="0" collapsed="false">
      <c r="G1037" s="25" t="n">
        <v>44388</v>
      </c>
      <c r="H1037" s="32" t="s">
        <v>15</v>
      </c>
      <c r="I1037" s="5" t="n">
        <v>90</v>
      </c>
      <c r="J1037" s="54" t="s">
        <v>38</v>
      </c>
    </row>
    <row r="1038" customFormat="false" ht="12.8" hidden="false" customHeight="false" outlineLevel="0" collapsed="false">
      <c r="G1038" s="25" t="n">
        <v>44388</v>
      </c>
      <c r="H1038" s="32" t="s">
        <v>15</v>
      </c>
      <c r="I1038" s="5" t="n">
        <v>-60</v>
      </c>
      <c r="J1038" s="54" t="s">
        <v>37</v>
      </c>
    </row>
    <row r="1039" customFormat="false" ht="12.8" hidden="false" customHeight="false" outlineLevel="0" collapsed="false">
      <c r="G1039" s="25" t="n">
        <v>44388</v>
      </c>
      <c r="H1039" s="32" t="s">
        <v>15</v>
      </c>
      <c r="I1039" s="5" t="n">
        <v>-45.07</v>
      </c>
      <c r="J1039" s="54" t="s">
        <v>37</v>
      </c>
    </row>
    <row r="1040" customFormat="false" ht="12.8" hidden="false" customHeight="false" outlineLevel="0" collapsed="false">
      <c r="G1040" s="25" t="n">
        <v>44388</v>
      </c>
      <c r="H1040" s="26" t="s">
        <v>10</v>
      </c>
      <c r="I1040" s="5" t="n">
        <v>-30</v>
      </c>
      <c r="J1040" s="54" t="s">
        <v>38</v>
      </c>
    </row>
    <row r="1041" customFormat="false" ht="12.8" hidden="false" customHeight="false" outlineLevel="0" collapsed="false">
      <c r="G1041" s="25" t="n">
        <v>44388</v>
      </c>
      <c r="H1041" s="32" t="s">
        <v>15</v>
      </c>
      <c r="I1041" s="5" t="n">
        <v>30</v>
      </c>
      <c r="J1041" s="54" t="s">
        <v>38</v>
      </c>
    </row>
    <row r="1042" customFormat="false" ht="12.8" hidden="false" customHeight="false" outlineLevel="0" collapsed="false">
      <c r="G1042" s="25" t="n">
        <v>44388</v>
      </c>
      <c r="H1042" s="32" t="s">
        <v>15</v>
      </c>
      <c r="I1042" s="5" t="n">
        <v>-20</v>
      </c>
      <c r="J1042" s="54" t="s">
        <v>37</v>
      </c>
    </row>
    <row r="1043" customFormat="false" ht="12.8" hidden="false" customHeight="false" outlineLevel="0" collapsed="false">
      <c r="G1043" s="25" t="n">
        <v>44388</v>
      </c>
      <c r="H1043" s="52" t="s">
        <v>14</v>
      </c>
      <c r="I1043" s="5" t="n">
        <v>-1050</v>
      </c>
      <c r="J1043" s="54" t="s">
        <v>870</v>
      </c>
    </row>
    <row r="1044" customFormat="false" ht="12.8" hidden="false" customHeight="false" outlineLevel="0" collapsed="false">
      <c r="G1044" s="25" t="n">
        <v>44388</v>
      </c>
      <c r="H1044" s="48" t="s">
        <v>26</v>
      </c>
      <c r="I1044" s="5" t="n">
        <v>1050</v>
      </c>
      <c r="J1044" s="10" t="s">
        <v>870</v>
      </c>
    </row>
    <row r="1045" customFormat="false" ht="12.8" hidden="false" customHeight="false" outlineLevel="0" collapsed="false">
      <c r="G1045" s="25" t="n">
        <v>44388</v>
      </c>
      <c r="H1045" s="48" t="s">
        <v>26</v>
      </c>
      <c r="I1045" s="5" t="n">
        <v>-1000</v>
      </c>
      <c r="J1045" s="10" t="s">
        <v>933</v>
      </c>
    </row>
    <row r="1046" customFormat="false" ht="12.8" hidden="false" customHeight="false" outlineLevel="0" collapsed="false">
      <c r="G1046" s="25" t="n">
        <v>44388</v>
      </c>
      <c r="H1046" s="48" t="s">
        <v>26</v>
      </c>
      <c r="I1046" s="5" t="n">
        <v>-3</v>
      </c>
      <c r="J1046" s="10" t="s">
        <v>130</v>
      </c>
    </row>
    <row r="1047" customFormat="false" ht="12.8" hidden="false" customHeight="false" outlineLevel="0" collapsed="false">
      <c r="G1047" s="25" t="n">
        <v>44389</v>
      </c>
      <c r="H1047" s="26" t="s">
        <v>10</v>
      </c>
      <c r="I1047" s="5" t="n">
        <v>-60</v>
      </c>
      <c r="J1047" s="54" t="s">
        <v>38</v>
      </c>
    </row>
    <row r="1048" customFormat="false" ht="12.8" hidden="false" customHeight="false" outlineLevel="0" collapsed="false">
      <c r="G1048" s="25" t="n">
        <v>44389</v>
      </c>
      <c r="H1048" s="32" t="s">
        <v>15</v>
      </c>
      <c r="I1048" s="5" t="n">
        <v>60</v>
      </c>
      <c r="J1048" s="54" t="s">
        <v>38</v>
      </c>
    </row>
    <row r="1049" customFormat="false" ht="12.8" hidden="false" customHeight="false" outlineLevel="0" collapsed="false">
      <c r="G1049" s="25" t="n">
        <v>44389</v>
      </c>
      <c r="H1049" s="32" t="s">
        <v>15</v>
      </c>
      <c r="I1049" s="5" t="n">
        <v>-60</v>
      </c>
      <c r="J1049" s="54" t="s">
        <v>37</v>
      </c>
    </row>
    <row r="1050" customFormat="false" ht="12.8" hidden="false" customHeight="false" outlineLevel="0" collapsed="false">
      <c r="G1050" s="25" t="n">
        <v>44389</v>
      </c>
      <c r="H1050" s="26" t="s">
        <v>10</v>
      </c>
      <c r="I1050" s="5" t="n">
        <v>-22</v>
      </c>
      <c r="J1050" s="54" t="s">
        <v>38</v>
      </c>
    </row>
    <row r="1051" customFormat="false" ht="12.8" hidden="false" customHeight="false" outlineLevel="0" collapsed="false">
      <c r="G1051" s="25" t="n">
        <v>44389</v>
      </c>
      <c r="H1051" s="32" t="s">
        <v>15</v>
      </c>
      <c r="I1051" s="5" t="n">
        <v>22</v>
      </c>
      <c r="J1051" s="54" t="s">
        <v>38</v>
      </c>
    </row>
    <row r="1052" customFormat="false" ht="12.8" hidden="false" customHeight="false" outlineLevel="0" collapsed="false">
      <c r="G1052" s="25" t="n">
        <v>44389</v>
      </c>
      <c r="H1052" s="32" t="s">
        <v>15</v>
      </c>
      <c r="I1052" s="5" t="n">
        <v>-23.92</v>
      </c>
      <c r="J1052" s="54" t="s">
        <v>37</v>
      </c>
    </row>
    <row r="1053" customFormat="false" ht="12.8" hidden="false" customHeight="false" outlineLevel="0" collapsed="false">
      <c r="G1053" s="25" t="n">
        <v>44390</v>
      </c>
      <c r="H1053" s="26" t="s">
        <v>10</v>
      </c>
      <c r="I1053" s="5" t="n">
        <v>-160</v>
      </c>
      <c r="J1053" s="54" t="s">
        <v>38</v>
      </c>
    </row>
    <row r="1054" customFormat="false" ht="12.8" hidden="false" customHeight="false" outlineLevel="0" collapsed="false">
      <c r="G1054" s="25" t="n">
        <v>44390</v>
      </c>
      <c r="H1054" s="32" t="s">
        <v>15</v>
      </c>
      <c r="I1054" s="5" t="n">
        <v>160</v>
      </c>
      <c r="J1054" s="54" t="s">
        <v>38</v>
      </c>
    </row>
    <row r="1055" customFormat="false" ht="12.8" hidden="false" customHeight="false" outlineLevel="0" collapsed="false">
      <c r="G1055" s="25" t="n">
        <v>44390</v>
      </c>
      <c r="H1055" s="32" t="s">
        <v>15</v>
      </c>
      <c r="I1055" s="5" t="n">
        <v>-60</v>
      </c>
      <c r="J1055" s="54" t="s">
        <v>37</v>
      </c>
    </row>
    <row r="1056" customFormat="false" ht="12.8" hidden="false" customHeight="false" outlineLevel="0" collapsed="false">
      <c r="G1056" s="25" t="n">
        <v>44390</v>
      </c>
      <c r="H1056" s="32" t="s">
        <v>15</v>
      </c>
      <c r="I1056" s="5" t="n">
        <v>-100</v>
      </c>
      <c r="J1056" s="10" t="s">
        <v>868</v>
      </c>
    </row>
    <row r="1057" customFormat="false" ht="12.8" hidden="false" customHeight="false" outlineLevel="0" collapsed="false">
      <c r="G1057" s="25" t="n">
        <v>44390</v>
      </c>
      <c r="H1057" s="26" t="s">
        <v>10</v>
      </c>
      <c r="I1057" s="5" t="n">
        <v>-25</v>
      </c>
      <c r="J1057" s="54" t="s">
        <v>38</v>
      </c>
    </row>
    <row r="1058" customFormat="false" ht="12.8" hidden="false" customHeight="false" outlineLevel="0" collapsed="false">
      <c r="G1058" s="25" t="n">
        <v>44390</v>
      </c>
      <c r="H1058" s="32" t="s">
        <v>15</v>
      </c>
      <c r="I1058" s="5" t="n">
        <v>25</v>
      </c>
      <c r="J1058" s="54" t="s">
        <v>38</v>
      </c>
    </row>
    <row r="1059" customFormat="false" ht="12.8" hidden="false" customHeight="false" outlineLevel="0" collapsed="false">
      <c r="G1059" s="25" t="n">
        <v>44390</v>
      </c>
      <c r="H1059" s="32" t="s">
        <v>15</v>
      </c>
      <c r="I1059" s="5" t="n">
        <v>-21.67</v>
      </c>
      <c r="J1059" s="54" t="s">
        <v>37</v>
      </c>
    </row>
    <row r="1060" customFormat="false" ht="12.8" hidden="false" customHeight="false" outlineLevel="0" collapsed="false">
      <c r="G1060" s="25" t="n">
        <v>44391</v>
      </c>
      <c r="H1060" s="26" t="s">
        <v>10</v>
      </c>
      <c r="I1060" s="5" t="n">
        <v>-60</v>
      </c>
      <c r="J1060" s="54" t="s">
        <v>38</v>
      </c>
    </row>
    <row r="1061" customFormat="false" ht="12.8" hidden="false" customHeight="false" outlineLevel="0" collapsed="false">
      <c r="G1061" s="25" t="n">
        <v>44391</v>
      </c>
      <c r="H1061" s="32" t="s">
        <v>15</v>
      </c>
      <c r="I1061" s="5" t="n">
        <v>60</v>
      </c>
      <c r="J1061" s="54" t="s">
        <v>38</v>
      </c>
    </row>
    <row r="1062" customFormat="false" ht="12.8" hidden="false" customHeight="false" outlineLevel="0" collapsed="false">
      <c r="G1062" s="25" t="n">
        <v>44391</v>
      </c>
      <c r="H1062" s="32" t="s">
        <v>15</v>
      </c>
      <c r="I1062" s="5" t="n">
        <v>-60</v>
      </c>
      <c r="J1062" s="54" t="s">
        <v>37</v>
      </c>
    </row>
    <row r="1063" customFormat="false" ht="12.8" hidden="false" customHeight="false" outlineLevel="0" collapsed="false">
      <c r="G1063" s="25" t="n">
        <v>44391</v>
      </c>
      <c r="H1063" s="26" t="s">
        <v>10</v>
      </c>
      <c r="I1063" s="5" t="n">
        <v>-21</v>
      </c>
      <c r="J1063" s="54" t="s">
        <v>38</v>
      </c>
    </row>
    <row r="1064" customFormat="false" ht="12.8" hidden="false" customHeight="false" outlineLevel="0" collapsed="false">
      <c r="G1064" s="25" t="n">
        <v>44391</v>
      </c>
      <c r="H1064" s="32" t="s">
        <v>15</v>
      </c>
      <c r="I1064" s="5" t="n">
        <v>21</v>
      </c>
      <c r="J1064" s="54" t="s">
        <v>38</v>
      </c>
    </row>
    <row r="1065" customFormat="false" ht="12.8" hidden="false" customHeight="false" outlineLevel="0" collapsed="false">
      <c r="G1065" s="25" t="n">
        <v>44391</v>
      </c>
      <c r="H1065" s="32" t="s">
        <v>15</v>
      </c>
      <c r="I1065" s="5" t="n">
        <v>-22.43</v>
      </c>
      <c r="J1065" s="54" t="s">
        <v>37</v>
      </c>
    </row>
    <row r="1066" customFormat="false" ht="12.8" hidden="false" customHeight="false" outlineLevel="0" collapsed="false">
      <c r="G1066" s="25" t="n">
        <v>44392</v>
      </c>
      <c r="H1066" s="43" t="s">
        <v>23</v>
      </c>
      <c r="I1066" s="5" t="n">
        <v>1386</v>
      </c>
      <c r="J1066" s="10" t="s">
        <v>912</v>
      </c>
    </row>
    <row r="1067" customFormat="false" ht="12.8" hidden="false" customHeight="false" outlineLevel="0" collapsed="false">
      <c r="G1067" s="25" t="n">
        <v>44392</v>
      </c>
      <c r="H1067" s="43" t="s">
        <v>23</v>
      </c>
      <c r="I1067" s="5" t="n">
        <v>-5</v>
      </c>
      <c r="J1067" s="10" t="s">
        <v>130</v>
      </c>
    </row>
    <row r="1068" customFormat="false" ht="12.8" hidden="false" customHeight="false" outlineLevel="0" collapsed="false">
      <c r="G1068" s="25" t="n">
        <v>44392</v>
      </c>
      <c r="H1068" s="43" t="s">
        <v>23</v>
      </c>
      <c r="I1068" s="5" t="n">
        <v>-60</v>
      </c>
      <c r="J1068" s="10" t="s">
        <v>37</v>
      </c>
    </row>
    <row r="1069" customFormat="false" ht="12.8" hidden="false" customHeight="false" outlineLevel="0" collapsed="false">
      <c r="G1069" s="25" t="n">
        <v>44392</v>
      </c>
      <c r="H1069" s="43" t="s">
        <v>23</v>
      </c>
      <c r="I1069" s="5" t="n">
        <v>-700</v>
      </c>
      <c r="J1069" s="10" t="s">
        <v>44</v>
      </c>
    </row>
    <row r="1070" customFormat="false" ht="12.8" hidden="false" customHeight="false" outlineLevel="0" collapsed="false">
      <c r="G1070" s="25" t="n">
        <v>44392</v>
      </c>
      <c r="H1070" s="43" t="s">
        <v>23</v>
      </c>
      <c r="I1070" s="5" t="n">
        <v>-15</v>
      </c>
      <c r="J1070" s="10" t="s">
        <v>858</v>
      </c>
    </row>
    <row r="1071" customFormat="false" ht="12.8" hidden="false" customHeight="false" outlineLevel="0" collapsed="false">
      <c r="G1071" s="25" t="n">
        <v>44392</v>
      </c>
      <c r="H1071" s="38" t="s">
        <v>21</v>
      </c>
      <c r="I1071" s="5" t="n">
        <v>15</v>
      </c>
      <c r="J1071" s="10" t="s">
        <v>858</v>
      </c>
    </row>
    <row r="1072" customFormat="false" ht="12.8" hidden="false" customHeight="false" outlineLevel="0" collapsed="false">
      <c r="G1072" s="25" t="n">
        <v>44392</v>
      </c>
      <c r="H1072" s="43" t="s">
        <v>23</v>
      </c>
      <c r="I1072" s="5" t="n">
        <v>500</v>
      </c>
      <c r="J1072" s="10" t="s">
        <v>912</v>
      </c>
    </row>
    <row r="1073" customFormat="false" ht="12.8" hidden="false" customHeight="false" outlineLevel="0" collapsed="false">
      <c r="G1073" s="25" t="n">
        <v>44392</v>
      </c>
      <c r="H1073" s="43" t="s">
        <v>23</v>
      </c>
      <c r="I1073" s="5" t="n">
        <v>-23.65</v>
      </c>
      <c r="J1073" s="10" t="s">
        <v>37</v>
      </c>
    </row>
    <row r="1074" customFormat="false" ht="12.8" hidden="false" customHeight="false" outlineLevel="0" collapsed="false">
      <c r="G1074" s="25" t="n">
        <v>44392</v>
      </c>
      <c r="H1074" s="43" t="s">
        <v>23</v>
      </c>
      <c r="I1074" s="5" t="n">
        <v>-38.43</v>
      </c>
      <c r="J1074" s="10" t="s">
        <v>37</v>
      </c>
    </row>
    <row r="1075" customFormat="false" ht="12.8" hidden="false" customHeight="false" outlineLevel="0" collapsed="false">
      <c r="G1075" s="25" t="n">
        <v>44392</v>
      </c>
      <c r="H1075" s="52" t="s">
        <v>14</v>
      </c>
      <c r="I1075" s="5" t="n">
        <v>-1000</v>
      </c>
      <c r="J1075" s="10" t="s">
        <v>480</v>
      </c>
    </row>
    <row r="1076" customFormat="false" ht="12.8" hidden="false" customHeight="false" outlineLevel="0" collapsed="false">
      <c r="G1076" s="25" t="n">
        <v>44392</v>
      </c>
      <c r="H1076" s="48" t="s">
        <v>26</v>
      </c>
      <c r="I1076" s="5" t="n">
        <v>1000</v>
      </c>
      <c r="J1076" s="10" t="s">
        <v>38</v>
      </c>
    </row>
    <row r="1077" customFormat="false" ht="12.8" hidden="false" customHeight="false" outlineLevel="0" collapsed="false">
      <c r="G1077" s="25" t="n">
        <v>44392</v>
      </c>
      <c r="H1077" s="48" t="s">
        <v>26</v>
      </c>
      <c r="I1077" s="5" t="n">
        <v>-1000</v>
      </c>
      <c r="J1077" s="10" t="s">
        <v>146</v>
      </c>
    </row>
    <row r="1078" customFormat="false" ht="12.8" hidden="false" customHeight="false" outlineLevel="0" collapsed="false">
      <c r="G1078" s="25" t="n">
        <v>44392</v>
      </c>
      <c r="H1078" s="48" t="s">
        <v>26</v>
      </c>
      <c r="I1078" s="5" t="n">
        <v>-3</v>
      </c>
      <c r="J1078" s="10" t="s">
        <v>130</v>
      </c>
    </row>
    <row r="1079" customFormat="false" ht="12.8" hidden="false" customHeight="false" outlineLevel="0" collapsed="false">
      <c r="G1079" s="25" t="n">
        <v>44392</v>
      </c>
      <c r="H1079" s="32" t="s">
        <v>15</v>
      </c>
      <c r="I1079" s="5" t="n">
        <v>1000</v>
      </c>
      <c r="J1079" s="10" t="s">
        <v>146</v>
      </c>
    </row>
    <row r="1080" customFormat="false" ht="12.8" hidden="false" customHeight="false" outlineLevel="0" collapsed="false">
      <c r="G1080" s="25" t="n">
        <v>44393</v>
      </c>
      <c r="H1080" s="26" t="s">
        <v>10</v>
      </c>
      <c r="I1080" s="5" t="n">
        <v>-60</v>
      </c>
      <c r="J1080" s="54" t="s">
        <v>38</v>
      </c>
    </row>
    <row r="1081" customFormat="false" ht="12.8" hidden="false" customHeight="false" outlineLevel="0" collapsed="false">
      <c r="G1081" s="25" t="n">
        <v>44393</v>
      </c>
      <c r="H1081" s="32" t="s">
        <v>15</v>
      </c>
      <c r="I1081" s="5" t="n">
        <v>60</v>
      </c>
      <c r="J1081" s="54" t="s">
        <v>38</v>
      </c>
    </row>
    <row r="1082" customFormat="false" ht="12.8" hidden="false" customHeight="false" outlineLevel="0" collapsed="false">
      <c r="G1082" s="25" t="n">
        <v>44393</v>
      </c>
      <c r="H1082" s="32" t="s">
        <v>15</v>
      </c>
      <c r="I1082" s="5" t="n">
        <v>-60</v>
      </c>
      <c r="J1082" s="54" t="s">
        <v>37</v>
      </c>
    </row>
    <row r="1083" customFormat="false" ht="12.8" hidden="false" customHeight="false" outlineLevel="0" collapsed="false">
      <c r="G1083" s="25" t="n">
        <v>44393</v>
      </c>
      <c r="H1083" s="43" t="s">
        <v>23</v>
      </c>
      <c r="I1083" s="5" t="n">
        <v>-121.45</v>
      </c>
      <c r="J1083" s="10" t="s">
        <v>47</v>
      </c>
    </row>
    <row r="1084" customFormat="false" ht="12.8" hidden="false" customHeight="false" outlineLevel="0" collapsed="false">
      <c r="G1084" s="25" t="n">
        <v>44393</v>
      </c>
      <c r="H1084" s="43" t="s">
        <v>23</v>
      </c>
      <c r="I1084" s="5" t="n">
        <v>-65</v>
      </c>
      <c r="J1084" s="10" t="s">
        <v>844</v>
      </c>
    </row>
    <row r="1085" customFormat="false" ht="12.8" hidden="false" customHeight="false" outlineLevel="0" collapsed="false">
      <c r="G1085" s="25" t="n">
        <v>44393</v>
      </c>
      <c r="H1085" s="32" t="s">
        <v>15</v>
      </c>
      <c r="I1085" s="5" t="n">
        <v>-1000</v>
      </c>
      <c r="J1085" s="10" t="s">
        <v>462</v>
      </c>
    </row>
    <row r="1086" customFormat="false" ht="12.8" hidden="false" customHeight="false" outlineLevel="0" collapsed="false">
      <c r="G1086" s="25" t="n">
        <v>44393</v>
      </c>
      <c r="H1086" s="26" t="s">
        <v>10</v>
      </c>
      <c r="I1086" s="5" t="n">
        <v>1000</v>
      </c>
      <c r="J1086" s="10" t="s">
        <v>462</v>
      </c>
    </row>
    <row r="1087" customFormat="false" ht="12.8" hidden="false" customHeight="false" outlineLevel="0" collapsed="false">
      <c r="G1087" s="25" t="n">
        <v>44393</v>
      </c>
      <c r="H1087" s="26" t="s">
        <v>10</v>
      </c>
      <c r="I1087" s="5" t="n">
        <v>-21</v>
      </c>
      <c r="J1087" s="54" t="s">
        <v>38</v>
      </c>
    </row>
    <row r="1088" customFormat="false" ht="12.8" hidden="false" customHeight="false" outlineLevel="0" collapsed="false">
      <c r="G1088" s="25" t="n">
        <v>44393</v>
      </c>
      <c r="H1088" s="32" t="s">
        <v>15</v>
      </c>
      <c r="I1088" s="5" t="n">
        <v>21</v>
      </c>
      <c r="J1088" s="54" t="s">
        <v>38</v>
      </c>
    </row>
    <row r="1089" customFormat="false" ht="12.8" hidden="false" customHeight="false" outlineLevel="0" collapsed="false">
      <c r="G1089" s="25" t="n">
        <v>44393</v>
      </c>
      <c r="H1089" s="26" t="s">
        <v>10</v>
      </c>
      <c r="I1089" s="5" t="n">
        <v>-100</v>
      </c>
      <c r="J1089" s="54" t="s">
        <v>38</v>
      </c>
    </row>
    <row r="1090" customFormat="false" ht="12.8" hidden="false" customHeight="false" outlineLevel="0" collapsed="false">
      <c r="G1090" s="25" t="n">
        <v>44393</v>
      </c>
      <c r="H1090" s="32" t="s">
        <v>15</v>
      </c>
      <c r="I1090" s="5" t="n">
        <v>100</v>
      </c>
      <c r="J1090" s="54" t="s">
        <v>38</v>
      </c>
    </row>
    <row r="1091" customFormat="false" ht="12.8" hidden="false" customHeight="false" outlineLevel="0" collapsed="false">
      <c r="G1091" s="25" t="n">
        <v>44393</v>
      </c>
      <c r="H1091" s="32" t="s">
        <v>15</v>
      </c>
      <c r="I1091" s="5" t="n">
        <v>-100</v>
      </c>
      <c r="J1091" s="54" t="s">
        <v>868</v>
      </c>
    </row>
    <row r="1092" customFormat="false" ht="12.8" hidden="false" customHeight="false" outlineLevel="0" collapsed="false">
      <c r="G1092" s="25" t="n">
        <v>44393</v>
      </c>
      <c r="H1092" s="32" t="s">
        <v>15</v>
      </c>
      <c r="I1092" s="5" t="n">
        <v>-25</v>
      </c>
      <c r="J1092" s="10" t="s">
        <v>462</v>
      </c>
    </row>
    <row r="1093" customFormat="false" ht="12.8" hidden="false" customHeight="false" outlineLevel="0" collapsed="false">
      <c r="G1093" s="25" t="n">
        <v>44393</v>
      </c>
      <c r="H1093" s="26" t="s">
        <v>10</v>
      </c>
      <c r="I1093" s="5" t="n">
        <v>25</v>
      </c>
      <c r="J1093" s="10" t="s">
        <v>462</v>
      </c>
    </row>
    <row r="1094" customFormat="false" ht="12.8" hidden="false" customHeight="false" outlineLevel="0" collapsed="false">
      <c r="G1094" s="25" t="n">
        <v>44394</v>
      </c>
      <c r="H1094" s="26" t="s">
        <v>10</v>
      </c>
      <c r="I1094" s="5" t="n">
        <v>-60</v>
      </c>
      <c r="J1094" s="54" t="s">
        <v>38</v>
      </c>
    </row>
    <row r="1095" customFormat="false" ht="12.8" hidden="false" customHeight="false" outlineLevel="0" collapsed="false">
      <c r="G1095" s="25" t="n">
        <v>44394</v>
      </c>
      <c r="H1095" s="32" t="s">
        <v>15</v>
      </c>
      <c r="I1095" s="5" t="n">
        <v>60</v>
      </c>
      <c r="J1095" s="54" t="s">
        <v>38</v>
      </c>
    </row>
    <row r="1096" customFormat="false" ht="12.8" hidden="false" customHeight="false" outlineLevel="0" collapsed="false">
      <c r="G1096" s="25" t="n">
        <v>44394</v>
      </c>
      <c r="H1096" s="32" t="s">
        <v>15</v>
      </c>
      <c r="I1096" s="5" t="n">
        <v>-60</v>
      </c>
      <c r="J1096" s="54" t="s">
        <v>37</v>
      </c>
    </row>
    <row r="1097" customFormat="false" ht="12.8" hidden="false" customHeight="false" outlineLevel="0" collapsed="false">
      <c r="G1097" s="25" t="n">
        <v>44394</v>
      </c>
      <c r="H1097" s="26" t="s">
        <v>10</v>
      </c>
      <c r="I1097" s="5" t="n">
        <v>-26</v>
      </c>
      <c r="J1097" s="54" t="s">
        <v>38</v>
      </c>
    </row>
    <row r="1098" customFormat="false" ht="12.8" hidden="false" customHeight="false" outlineLevel="0" collapsed="false">
      <c r="G1098" s="25" t="n">
        <v>44394</v>
      </c>
      <c r="H1098" s="32" t="s">
        <v>15</v>
      </c>
      <c r="I1098" s="5" t="n">
        <v>26</v>
      </c>
      <c r="J1098" s="54" t="s">
        <v>38</v>
      </c>
    </row>
    <row r="1099" customFormat="false" ht="12.8" hidden="false" customHeight="false" outlineLevel="0" collapsed="false">
      <c r="G1099" s="25" t="n">
        <v>44394</v>
      </c>
      <c r="H1099" s="32" t="s">
        <v>15</v>
      </c>
      <c r="I1099" s="5" t="n">
        <v>-25.23</v>
      </c>
      <c r="J1099" s="54" t="s">
        <v>37</v>
      </c>
    </row>
    <row r="1100" customFormat="false" ht="12.8" hidden="false" customHeight="false" outlineLevel="0" collapsed="false">
      <c r="G1100" s="25" t="n">
        <v>44395</v>
      </c>
      <c r="H1100" s="26" t="s">
        <v>10</v>
      </c>
      <c r="I1100" s="5" t="n">
        <v>-60</v>
      </c>
      <c r="J1100" s="54" t="s">
        <v>38</v>
      </c>
    </row>
    <row r="1101" customFormat="false" ht="12.8" hidden="false" customHeight="false" outlineLevel="0" collapsed="false">
      <c r="G1101" s="25" t="n">
        <v>44395</v>
      </c>
      <c r="H1101" s="32" t="s">
        <v>15</v>
      </c>
      <c r="I1101" s="5" t="n">
        <v>60</v>
      </c>
      <c r="J1101" s="54" t="s">
        <v>38</v>
      </c>
    </row>
    <row r="1102" customFormat="false" ht="12.8" hidden="false" customHeight="false" outlineLevel="0" collapsed="false">
      <c r="G1102" s="25" t="n">
        <v>44395</v>
      </c>
      <c r="H1102" s="32" t="s">
        <v>15</v>
      </c>
      <c r="I1102" s="5" t="n">
        <v>-60</v>
      </c>
      <c r="J1102" s="54" t="s">
        <v>37</v>
      </c>
    </row>
    <row r="1103" customFormat="false" ht="12.8" hidden="false" customHeight="false" outlineLevel="0" collapsed="false">
      <c r="G1103" s="25" t="n">
        <v>44395</v>
      </c>
      <c r="H1103" s="26" t="s">
        <v>10</v>
      </c>
      <c r="I1103" s="5" t="n">
        <v>-24</v>
      </c>
      <c r="J1103" s="54" t="s">
        <v>38</v>
      </c>
    </row>
    <row r="1104" customFormat="false" ht="12.8" hidden="false" customHeight="false" outlineLevel="0" collapsed="false">
      <c r="G1104" s="25" t="n">
        <v>44395</v>
      </c>
      <c r="H1104" s="32" t="s">
        <v>15</v>
      </c>
      <c r="I1104" s="5" t="n">
        <v>24</v>
      </c>
      <c r="J1104" s="54" t="s">
        <v>38</v>
      </c>
    </row>
    <row r="1105" customFormat="false" ht="12.8" hidden="false" customHeight="false" outlineLevel="0" collapsed="false">
      <c r="G1105" s="25" t="n">
        <v>44395</v>
      </c>
      <c r="H1105" s="32" t="s">
        <v>15</v>
      </c>
      <c r="I1105" s="5" t="n">
        <v>-24.73</v>
      </c>
      <c r="J1105" s="54" t="s">
        <v>37</v>
      </c>
    </row>
    <row r="1106" customFormat="false" ht="12.8" hidden="false" customHeight="false" outlineLevel="0" collapsed="false">
      <c r="G1106" s="25" t="n">
        <v>44396</v>
      </c>
      <c r="H1106" s="26" t="s">
        <v>10</v>
      </c>
      <c r="I1106" s="5" t="n">
        <v>-60</v>
      </c>
      <c r="J1106" s="54" t="s">
        <v>38</v>
      </c>
    </row>
    <row r="1107" customFormat="false" ht="12.8" hidden="false" customHeight="false" outlineLevel="0" collapsed="false">
      <c r="G1107" s="25" t="n">
        <v>44396</v>
      </c>
      <c r="H1107" s="32" t="s">
        <v>15</v>
      </c>
      <c r="I1107" s="5" t="n">
        <v>60</v>
      </c>
      <c r="J1107" s="54" t="s">
        <v>38</v>
      </c>
    </row>
    <row r="1108" customFormat="false" ht="12.8" hidden="false" customHeight="false" outlineLevel="0" collapsed="false">
      <c r="G1108" s="25" t="n">
        <v>44396</v>
      </c>
      <c r="H1108" s="32" t="s">
        <v>15</v>
      </c>
      <c r="I1108" s="5" t="n">
        <v>-60</v>
      </c>
      <c r="J1108" s="54" t="s">
        <v>37</v>
      </c>
    </row>
    <row r="1109" customFormat="false" ht="12.8" hidden="false" customHeight="false" outlineLevel="0" collapsed="false">
      <c r="G1109" s="25" t="n">
        <v>44396</v>
      </c>
      <c r="H1109" s="26" t="s">
        <v>10</v>
      </c>
      <c r="I1109" s="5" t="n">
        <v>-24.5</v>
      </c>
      <c r="J1109" s="54" t="s">
        <v>38</v>
      </c>
    </row>
    <row r="1110" customFormat="false" ht="12.8" hidden="false" customHeight="false" outlineLevel="0" collapsed="false">
      <c r="G1110" s="25" t="n">
        <v>44396</v>
      </c>
      <c r="H1110" s="32" t="s">
        <v>15</v>
      </c>
      <c r="I1110" s="5" t="n">
        <v>24.5</v>
      </c>
      <c r="J1110" s="54" t="s">
        <v>38</v>
      </c>
    </row>
    <row r="1111" customFormat="false" ht="12.8" hidden="false" customHeight="false" outlineLevel="0" collapsed="false">
      <c r="G1111" s="25" t="n">
        <v>44396</v>
      </c>
      <c r="H1111" s="32" t="s">
        <v>15</v>
      </c>
      <c r="I1111" s="5" t="n">
        <v>-21.54</v>
      </c>
      <c r="J1111" s="54" t="s">
        <v>37</v>
      </c>
    </row>
    <row r="1112" customFormat="false" ht="12.8" hidden="false" customHeight="false" outlineLevel="0" collapsed="false">
      <c r="G1112" s="25" t="n">
        <v>44397</v>
      </c>
      <c r="H1112" s="43" t="s">
        <v>23</v>
      </c>
      <c r="I1112" s="5" t="n">
        <v>-14</v>
      </c>
      <c r="J1112" s="10" t="s">
        <v>934</v>
      </c>
    </row>
    <row r="1113" customFormat="false" ht="12.8" hidden="false" customHeight="false" outlineLevel="0" collapsed="false">
      <c r="G1113" s="25" t="n">
        <v>44397</v>
      </c>
      <c r="H1113" s="43" t="s">
        <v>23</v>
      </c>
      <c r="I1113" s="5" t="n">
        <v>-80</v>
      </c>
      <c r="J1113" s="10" t="s">
        <v>37</v>
      </c>
    </row>
    <row r="1114" customFormat="false" ht="12.8" hidden="false" customHeight="false" outlineLevel="0" collapsed="false">
      <c r="G1114" s="25" t="n">
        <v>44397</v>
      </c>
      <c r="H1114" s="26" t="s">
        <v>10</v>
      </c>
      <c r="I1114" s="5" t="n">
        <v>-21.6</v>
      </c>
      <c r="J1114" s="54" t="s">
        <v>38</v>
      </c>
    </row>
    <row r="1115" customFormat="false" ht="12.8" hidden="false" customHeight="false" outlineLevel="0" collapsed="false">
      <c r="G1115" s="25" t="n">
        <v>44397</v>
      </c>
      <c r="H1115" s="32" t="s">
        <v>15</v>
      </c>
      <c r="I1115" s="5" t="n">
        <v>21.6</v>
      </c>
      <c r="J1115" s="54" t="s">
        <v>38</v>
      </c>
    </row>
    <row r="1116" customFormat="false" ht="12.8" hidden="false" customHeight="false" outlineLevel="0" collapsed="false">
      <c r="G1116" s="25" t="n">
        <v>44397</v>
      </c>
      <c r="H1116" s="43" t="s">
        <v>23</v>
      </c>
      <c r="I1116" s="5" t="n">
        <v>-35.55</v>
      </c>
      <c r="J1116" s="10" t="s">
        <v>841</v>
      </c>
    </row>
    <row r="1117" customFormat="false" ht="12.8" hidden="false" customHeight="false" outlineLevel="0" collapsed="false">
      <c r="G1117" s="25" t="n">
        <v>44397</v>
      </c>
      <c r="H1117" s="26" t="s">
        <v>10</v>
      </c>
      <c r="I1117" s="5" t="n">
        <v>-100</v>
      </c>
      <c r="J1117" s="54" t="s">
        <v>38</v>
      </c>
    </row>
    <row r="1118" customFormat="false" ht="12.8" hidden="false" customHeight="false" outlineLevel="0" collapsed="false">
      <c r="G1118" s="25" t="n">
        <v>44397</v>
      </c>
      <c r="H1118" s="32" t="s">
        <v>15</v>
      </c>
      <c r="I1118" s="5" t="n">
        <v>100</v>
      </c>
      <c r="J1118" s="54" t="s">
        <v>38</v>
      </c>
    </row>
    <row r="1119" customFormat="false" ht="12.8" hidden="false" customHeight="false" outlineLevel="0" collapsed="false">
      <c r="G1119" s="25" t="n">
        <v>44397</v>
      </c>
      <c r="H1119" s="32" t="s">
        <v>15</v>
      </c>
      <c r="I1119" s="5" t="n">
        <v>-100</v>
      </c>
      <c r="J1119" s="54" t="s">
        <v>868</v>
      </c>
    </row>
    <row r="1120" customFormat="false" ht="12.8" hidden="false" customHeight="false" outlineLevel="0" collapsed="false">
      <c r="G1120" s="25" t="n">
        <v>44397</v>
      </c>
      <c r="H1120" s="32" t="s">
        <v>15</v>
      </c>
      <c r="I1120" s="5" t="n">
        <v>-24.94</v>
      </c>
      <c r="J1120" s="54" t="s">
        <v>37</v>
      </c>
    </row>
    <row r="1121" customFormat="false" ht="12.8" hidden="false" customHeight="false" outlineLevel="0" collapsed="false">
      <c r="G1121" s="25" t="n">
        <v>44397</v>
      </c>
      <c r="H1121" s="43" t="s">
        <v>23</v>
      </c>
      <c r="I1121" s="5" t="n">
        <v>-93.56</v>
      </c>
      <c r="J1121" s="10" t="s">
        <v>53</v>
      </c>
    </row>
    <row r="1122" customFormat="false" ht="12.8" hidden="false" customHeight="false" outlineLevel="0" collapsed="false">
      <c r="G1122" s="25" t="n">
        <v>44398</v>
      </c>
      <c r="H1122" s="43" t="s">
        <v>23</v>
      </c>
      <c r="I1122" s="5" t="n">
        <v>-60</v>
      </c>
      <c r="J1122" s="10" t="s">
        <v>37</v>
      </c>
    </row>
    <row r="1123" customFormat="false" ht="12.8" hidden="false" customHeight="false" outlineLevel="0" collapsed="false">
      <c r="G1123" s="25" t="n">
        <v>44398</v>
      </c>
      <c r="H1123" s="43" t="s">
        <v>23</v>
      </c>
      <c r="I1123" s="5" t="n">
        <v>-253.6</v>
      </c>
      <c r="J1123" s="10" t="s">
        <v>843</v>
      </c>
    </row>
    <row r="1124" customFormat="false" ht="12.8" hidden="false" customHeight="false" outlineLevel="0" collapsed="false">
      <c r="G1124" s="25" t="n">
        <v>44398</v>
      </c>
      <c r="H1124" s="26" t="s">
        <v>10</v>
      </c>
      <c r="I1124" s="5" t="n">
        <v>-25</v>
      </c>
      <c r="J1124" s="54" t="s">
        <v>38</v>
      </c>
    </row>
    <row r="1125" customFormat="false" ht="12.8" hidden="false" customHeight="false" outlineLevel="0" collapsed="false">
      <c r="G1125" s="25" t="n">
        <v>44398</v>
      </c>
      <c r="H1125" s="32" t="s">
        <v>15</v>
      </c>
      <c r="I1125" s="5" t="n">
        <v>25</v>
      </c>
      <c r="J1125" s="54" t="s">
        <v>38</v>
      </c>
    </row>
    <row r="1126" customFormat="false" ht="12.8" hidden="false" customHeight="false" outlineLevel="0" collapsed="false">
      <c r="G1126" s="25" t="n">
        <v>44398</v>
      </c>
      <c r="H1126" s="32" t="s">
        <v>15</v>
      </c>
      <c r="I1126" s="5" t="n">
        <v>-22.06</v>
      </c>
      <c r="J1126" s="54" t="s">
        <v>37</v>
      </c>
    </row>
    <row r="1127" customFormat="false" ht="12.8" hidden="false" customHeight="false" outlineLevel="0" collapsed="false">
      <c r="G1127" s="25" t="n">
        <v>44399</v>
      </c>
      <c r="H1127" s="43" t="s">
        <v>23</v>
      </c>
      <c r="I1127" s="5" t="n">
        <v>-60</v>
      </c>
      <c r="J1127" s="10" t="s">
        <v>37</v>
      </c>
    </row>
    <row r="1128" customFormat="false" ht="12.8" hidden="false" customHeight="false" outlineLevel="0" collapsed="false">
      <c r="G1128" s="25" t="n">
        <v>44399</v>
      </c>
      <c r="H1128" s="26" t="s">
        <v>10</v>
      </c>
      <c r="I1128" s="5" t="n">
        <v>-22</v>
      </c>
      <c r="J1128" s="54" t="s">
        <v>38</v>
      </c>
    </row>
    <row r="1129" customFormat="false" ht="12.8" hidden="false" customHeight="false" outlineLevel="0" collapsed="false">
      <c r="G1129" s="25" t="n">
        <v>44399</v>
      </c>
      <c r="H1129" s="32" t="s">
        <v>15</v>
      </c>
      <c r="I1129" s="5" t="n">
        <v>22</v>
      </c>
      <c r="J1129" s="54" t="s">
        <v>38</v>
      </c>
    </row>
    <row r="1130" customFormat="false" ht="12.8" hidden="false" customHeight="false" outlineLevel="0" collapsed="false">
      <c r="G1130" s="25" t="n">
        <v>44399</v>
      </c>
      <c r="H1130" s="32" t="s">
        <v>15</v>
      </c>
      <c r="I1130" s="5" t="n">
        <v>-19.98</v>
      </c>
      <c r="J1130" s="54" t="s">
        <v>37</v>
      </c>
    </row>
    <row r="1131" customFormat="false" ht="12.8" hidden="false" customHeight="false" outlineLevel="0" collapsed="false">
      <c r="G1131" s="25" t="n">
        <v>44400</v>
      </c>
      <c r="H1131" s="43" t="s">
        <v>23</v>
      </c>
      <c r="I1131" s="5" t="n">
        <v>-64.59</v>
      </c>
      <c r="J1131" s="10" t="s">
        <v>37</v>
      </c>
    </row>
    <row r="1132" customFormat="false" ht="12.8" hidden="false" customHeight="false" outlineLevel="0" collapsed="false">
      <c r="G1132" s="25" t="n">
        <v>44400</v>
      </c>
      <c r="H1132" s="26" t="s">
        <v>10</v>
      </c>
      <c r="I1132" s="5" t="n">
        <v>-170</v>
      </c>
      <c r="J1132" s="54" t="s">
        <v>38</v>
      </c>
    </row>
    <row r="1133" customFormat="false" ht="12.8" hidden="false" customHeight="false" outlineLevel="0" collapsed="false">
      <c r="G1133" s="25" t="n">
        <v>44400</v>
      </c>
      <c r="H1133" s="32" t="s">
        <v>15</v>
      </c>
      <c r="I1133" s="5" t="n">
        <v>170</v>
      </c>
      <c r="J1133" s="54" t="s">
        <v>38</v>
      </c>
    </row>
    <row r="1134" customFormat="false" ht="12.8" hidden="false" customHeight="false" outlineLevel="0" collapsed="false">
      <c r="G1134" s="25" t="n">
        <v>44400</v>
      </c>
      <c r="H1134" s="32" t="s">
        <v>15</v>
      </c>
      <c r="I1134" s="5" t="n">
        <v>-150</v>
      </c>
      <c r="J1134" s="54" t="s">
        <v>868</v>
      </c>
    </row>
    <row r="1135" customFormat="false" ht="12.8" hidden="false" customHeight="false" outlineLevel="0" collapsed="false">
      <c r="G1135" s="25" t="n">
        <v>44400</v>
      </c>
      <c r="H1135" s="32" t="s">
        <v>15</v>
      </c>
      <c r="I1135" s="5" t="n">
        <v>-23.82</v>
      </c>
      <c r="J1135" s="54" t="s">
        <v>37</v>
      </c>
    </row>
    <row r="1136" customFormat="false" ht="12.8" hidden="false" customHeight="false" outlineLevel="0" collapsed="false">
      <c r="G1136" s="25" t="n">
        <v>44401</v>
      </c>
      <c r="H1136" s="43" t="s">
        <v>23</v>
      </c>
      <c r="I1136" s="5" t="n">
        <v>-60</v>
      </c>
      <c r="J1136" s="10" t="s">
        <v>37</v>
      </c>
    </row>
    <row r="1137" customFormat="false" ht="12.8" hidden="false" customHeight="false" outlineLevel="0" collapsed="false">
      <c r="G1137" s="25" t="n">
        <v>44401</v>
      </c>
      <c r="H1137" s="26" t="s">
        <v>10</v>
      </c>
      <c r="I1137" s="5" t="n">
        <v>-24</v>
      </c>
      <c r="J1137" s="54" t="s">
        <v>38</v>
      </c>
    </row>
    <row r="1138" customFormat="false" ht="12.8" hidden="false" customHeight="false" outlineLevel="0" collapsed="false">
      <c r="G1138" s="25" t="n">
        <v>44401</v>
      </c>
      <c r="H1138" s="32" t="s">
        <v>15</v>
      </c>
      <c r="I1138" s="5" t="n">
        <v>24</v>
      </c>
      <c r="J1138" s="54" t="s">
        <v>38</v>
      </c>
    </row>
    <row r="1139" customFormat="false" ht="12.8" hidden="false" customHeight="false" outlineLevel="0" collapsed="false">
      <c r="G1139" s="25" t="n">
        <v>44401</v>
      </c>
      <c r="H1139" s="32" t="s">
        <v>15</v>
      </c>
      <c r="I1139" s="5" t="n">
        <v>-23.83</v>
      </c>
      <c r="J1139" s="54" t="s">
        <v>37</v>
      </c>
    </row>
    <row r="1140" customFormat="false" ht="12.8" hidden="false" customHeight="false" outlineLevel="0" collapsed="false">
      <c r="G1140" s="25" t="n">
        <v>44401</v>
      </c>
      <c r="H1140" s="26" t="s">
        <v>10</v>
      </c>
      <c r="I1140" s="5" t="n">
        <v>-200</v>
      </c>
      <c r="J1140" s="54" t="s">
        <v>898</v>
      </c>
    </row>
    <row r="1141" customFormat="false" ht="12.8" hidden="false" customHeight="false" outlineLevel="0" collapsed="false">
      <c r="G1141" s="25" t="n">
        <v>44401</v>
      </c>
      <c r="H1141" s="32" t="s">
        <v>15</v>
      </c>
      <c r="I1141" s="5" t="n">
        <v>200</v>
      </c>
      <c r="J1141" s="54" t="s">
        <v>898</v>
      </c>
    </row>
    <row r="1142" customFormat="false" ht="12.8" hidden="false" customHeight="false" outlineLevel="0" collapsed="false">
      <c r="G1142" s="25" t="n">
        <v>44402</v>
      </c>
      <c r="H1142" s="32" t="s">
        <v>15</v>
      </c>
      <c r="I1142" s="5" t="n">
        <v>-200</v>
      </c>
      <c r="J1142" s="10" t="s">
        <v>861</v>
      </c>
    </row>
    <row r="1143" customFormat="false" ht="12.8" hidden="false" customHeight="false" outlineLevel="0" collapsed="false">
      <c r="G1143" s="25" t="n">
        <v>44402</v>
      </c>
      <c r="H1143" s="43" t="s">
        <v>23</v>
      </c>
      <c r="I1143" s="5" t="n">
        <v>-60</v>
      </c>
      <c r="J1143" s="10" t="s">
        <v>37</v>
      </c>
    </row>
    <row r="1144" customFormat="false" ht="12.8" hidden="false" customHeight="false" outlineLevel="0" collapsed="false">
      <c r="G1144" s="25" t="n">
        <v>44402</v>
      </c>
      <c r="H1144" s="26" t="s">
        <v>10</v>
      </c>
      <c r="I1144" s="5" t="n">
        <v>-24</v>
      </c>
      <c r="J1144" s="54" t="s">
        <v>38</v>
      </c>
    </row>
    <row r="1145" customFormat="false" ht="12.8" hidden="false" customHeight="false" outlineLevel="0" collapsed="false">
      <c r="G1145" s="25" t="n">
        <v>44402</v>
      </c>
      <c r="H1145" s="32" t="s">
        <v>15</v>
      </c>
      <c r="I1145" s="5" t="n">
        <v>24</v>
      </c>
      <c r="J1145" s="54" t="s">
        <v>38</v>
      </c>
    </row>
    <row r="1146" customFormat="false" ht="12.8" hidden="false" customHeight="false" outlineLevel="0" collapsed="false">
      <c r="G1146" s="25" t="n">
        <v>44402</v>
      </c>
      <c r="H1146" s="32" t="s">
        <v>15</v>
      </c>
      <c r="I1146" s="5" t="n">
        <v>-12.72</v>
      </c>
      <c r="J1146" s="54" t="s">
        <v>37</v>
      </c>
    </row>
    <row r="1147" customFormat="false" ht="12.8" hidden="false" customHeight="false" outlineLevel="0" collapsed="false">
      <c r="G1147" s="25" t="n">
        <v>44403</v>
      </c>
      <c r="H1147" s="43" t="s">
        <v>23</v>
      </c>
      <c r="I1147" s="5" t="n">
        <v>-60</v>
      </c>
      <c r="J1147" s="10" t="s">
        <v>37</v>
      </c>
    </row>
    <row r="1148" customFormat="false" ht="12.8" hidden="false" customHeight="false" outlineLevel="0" collapsed="false">
      <c r="G1148" s="25" t="n">
        <v>44403</v>
      </c>
      <c r="H1148" s="43" t="s">
        <v>23</v>
      </c>
      <c r="I1148" s="5" t="n">
        <v>-10.98</v>
      </c>
      <c r="J1148" s="10" t="s">
        <v>37</v>
      </c>
    </row>
    <row r="1149" customFormat="false" ht="12.8" hidden="false" customHeight="false" outlineLevel="0" collapsed="false">
      <c r="G1149" s="25" t="n">
        <v>44403</v>
      </c>
      <c r="H1149" s="26" t="s">
        <v>10</v>
      </c>
      <c r="I1149" s="5" t="n">
        <v>-13</v>
      </c>
      <c r="J1149" s="54" t="s">
        <v>38</v>
      </c>
    </row>
    <row r="1150" customFormat="false" ht="12.8" hidden="false" customHeight="false" outlineLevel="0" collapsed="false">
      <c r="G1150" s="25" t="n">
        <v>44403</v>
      </c>
      <c r="H1150" s="32" t="s">
        <v>15</v>
      </c>
      <c r="I1150" s="5" t="n">
        <v>13</v>
      </c>
      <c r="J1150" s="54" t="s">
        <v>38</v>
      </c>
    </row>
    <row r="1151" customFormat="false" ht="12.8" hidden="false" customHeight="false" outlineLevel="0" collapsed="false">
      <c r="G1151" s="25" t="n">
        <v>44403</v>
      </c>
      <c r="H1151" s="32" t="s">
        <v>15</v>
      </c>
      <c r="I1151" s="5" t="n">
        <v>-25.52</v>
      </c>
      <c r="J1151" s="54" t="s">
        <v>37</v>
      </c>
    </row>
    <row r="1152" customFormat="false" ht="12.8" hidden="false" customHeight="false" outlineLevel="0" collapsed="false">
      <c r="G1152" s="25" t="n">
        <v>44404</v>
      </c>
      <c r="H1152" s="26" t="s">
        <v>10</v>
      </c>
      <c r="I1152" s="5" t="n">
        <v>-85</v>
      </c>
      <c r="J1152" s="54" t="s">
        <v>38</v>
      </c>
    </row>
    <row r="1153" customFormat="false" ht="12.8" hidden="false" customHeight="false" outlineLevel="0" collapsed="false">
      <c r="G1153" s="25" t="n">
        <v>44404</v>
      </c>
      <c r="H1153" s="32" t="s">
        <v>15</v>
      </c>
      <c r="I1153" s="5" t="n">
        <v>85</v>
      </c>
      <c r="J1153" s="54" t="s">
        <v>38</v>
      </c>
    </row>
    <row r="1154" customFormat="false" ht="12.8" hidden="false" customHeight="false" outlineLevel="0" collapsed="false">
      <c r="G1154" s="25" t="n">
        <v>44404</v>
      </c>
      <c r="H1154" s="32" t="s">
        <v>15</v>
      </c>
      <c r="I1154" s="5" t="n">
        <v>-60</v>
      </c>
      <c r="J1154" s="54" t="s">
        <v>37</v>
      </c>
    </row>
    <row r="1155" customFormat="false" ht="12.8" hidden="false" customHeight="false" outlineLevel="0" collapsed="false">
      <c r="G1155" s="25" t="n">
        <v>44404</v>
      </c>
      <c r="H1155" s="52" t="s">
        <v>14</v>
      </c>
      <c r="I1155" s="5" t="n">
        <v>2.92</v>
      </c>
      <c r="J1155" s="10" t="s">
        <v>40</v>
      </c>
    </row>
    <row r="1156" customFormat="false" ht="12.8" hidden="false" customHeight="false" outlineLevel="0" collapsed="false">
      <c r="G1156" s="25" t="n">
        <v>44404</v>
      </c>
      <c r="H1156" s="52" t="s">
        <v>14</v>
      </c>
      <c r="I1156" s="5" t="n">
        <v>-100</v>
      </c>
      <c r="J1156" s="10" t="s">
        <v>480</v>
      </c>
    </row>
    <row r="1157" customFormat="false" ht="12.8" hidden="false" customHeight="false" outlineLevel="0" collapsed="false">
      <c r="G1157" s="25" t="n">
        <v>44404</v>
      </c>
      <c r="H1157" s="48" t="s">
        <v>26</v>
      </c>
      <c r="I1157" s="5" t="n">
        <v>100</v>
      </c>
      <c r="J1157" s="10" t="s">
        <v>480</v>
      </c>
    </row>
    <row r="1158" customFormat="false" ht="12.8" hidden="false" customHeight="false" outlineLevel="0" collapsed="false">
      <c r="G1158" s="25" t="n">
        <v>44404</v>
      </c>
      <c r="H1158" s="48" t="s">
        <v>26</v>
      </c>
      <c r="I1158" s="5" t="n">
        <v>-100</v>
      </c>
      <c r="J1158" s="10" t="s">
        <v>935</v>
      </c>
    </row>
    <row r="1159" customFormat="false" ht="12.8" hidden="false" customHeight="false" outlineLevel="0" collapsed="false">
      <c r="G1159" s="25" t="n">
        <v>44404</v>
      </c>
      <c r="H1159" s="32" t="s">
        <v>15</v>
      </c>
      <c r="I1159" s="5" t="n">
        <v>-0.21</v>
      </c>
      <c r="J1159" s="10" t="s">
        <v>462</v>
      </c>
    </row>
    <row r="1160" customFormat="false" ht="12.8" hidden="false" customHeight="false" outlineLevel="0" collapsed="false">
      <c r="G1160" s="25" t="n">
        <v>44404</v>
      </c>
      <c r="H1160" s="26" t="s">
        <v>10</v>
      </c>
      <c r="I1160" s="5" t="n">
        <v>36.76</v>
      </c>
      <c r="J1160" s="10" t="s">
        <v>462</v>
      </c>
    </row>
    <row r="1161" customFormat="false" ht="12.8" hidden="false" customHeight="false" outlineLevel="0" collapsed="false">
      <c r="G1161" s="25" t="n">
        <v>44404</v>
      </c>
      <c r="H1161" s="32" t="s">
        <v>15</v>
      </c>
      <c r="I1161" s="5" t="n">
        <v>-24.02</v>
      </c>
      <c r="J1161" s="54" t="s">
        <v>37</v>
      </c>
    </row>
    <row r="1162" customFormat="false" ht="12.8" hidden="false" customHeight="false" outlineLevel="0" collapsed="false">
      <c r="G1162" s="25" t="n">
        <v>44405</v>
      </c>
      <c r="H1162" s="52" t="s">
        <v>14</v>
      </c>
      <c r="I1162" s="5" t="n">
        <v>-60</v>
      </c>
      <c r="J1162" s="10" t="s">
        <v>480</v>
      </c>
    </row>
    <row r="1163" customFormat="false" ht="12.8" hidden="false" customHeight="false" outlineLevel="0" collapsed="false">
      <c r="G1163" s="25" t="n">
        <v>44405</v>
      </c>
      <c r="H1163" s="48" t="s">
        <v>26</v>
      </c>
      <c r="I1163" s="5" t="n">
        <v>60</v>
      </c>
      <c r="J1163" s="10" t="s">
        <v>480</v>
      </c>
    </row>
    <row r="1164" customFormat="false" ht="12.8" hidden="false" customHeight="false" outlineLevel="0" collapsed="false">
      <c r="G1164" s="25" t="n">
        <v>44405</v>
      </c>
      <c r="H1164" s="48" t="s">
        <v>26</v>
      </c>
      <c r="I1164" s="5" t="n">
        <v>-60</v>
      </c>
      <c r="J1164" s="54" t="s">
        <v>37</v>
      </c>
    </row>
    <row r="1165" customFormat="false" ht="12.8" hidden="false" customHeight="false" outlineLevel="0" collapsed="false">
      <c r="G1165" s="25" t="n">
        <v>44405</v>
      </c>
      <c r="H1165" s="48" t="s">
        <v>26</v>
      </c>
      <c r="I1165" s="5" t="n">
        <v>-20</v>
      </c>
      <c r="J1165" s="54" t="s">
        <v>37</v>
      </c>
    </row>
    <row r="1166" customFormat="false" ht="12.8" hidden="false" customHeight="false" outlineLevel="0" collapsed="false">
      <c r="G1166" s="25" t="n">
        <v>44405</v>
      </c>
      <c r="H1166" s="26" t="s">
        <v>10</v>
      </c>
      <c r="I1166" s="5" t="n">
        <v>-22.85</v>
      </c>
      <c r="J1166" s="54" t="s">
        <v>894</v>
      </c>
    </row>
    <row r="1167" customFormat="false" ht="12.8" hidden="false" customHeight="false" outlineLevel="0" collapsed="false">
      <c r="G1167" s="25" t="n">
        <v>44405</v>
      </c>
      <c r="H1167" s="32" t="s">
        <v>15</v>
      </c>
      <c r="I1167" s="5" t="n">
        <v>-0.98</v>
      </c>
      <c r="J1167" s="54" t="s">
        <v>894</v>
      </c>
    </row>
    <row r="1168" customFormat="false" ht="12.8" hidden="false" customHeight="false" outlineLevel="0" collapsed="false">
      <c r="G1168" s="25" t="n">
        <v>44405</v>
      </c>
      <c r="H1168" s="26" t="s">
        <v>10</v>
      </c>
      <c r="I1168" s="5" t="n">
        <v>-23</v>
      </c>
      <c r="J1168" s="54" t="s">
        <v>38</v>
      </c>
    </row>
    <row r="1169" customFormat="false" ht="12.8" hidden="false" customHeight="false" outlineLevel="0" collapsed="false">
      <c r="G1169" s="25" t="n">
        <v>44405</v>
      </c>
      <c r="H1169" s="32" t="s">
        <v>15</v>
      </c>
      <c r="I1169" s="5" t="n">
        <v>23</v>
      </c>
      <c r="J1169" s="54" t="s">
        <v>38</v>
      </c>
    </row>
    <row r="1170" customFormat="false" ht="12.8" hidden="false" customHeight="false" outlineLevel="0" collapsed="false">
      <c r="G1170" s="25" t="n">
        <v>44405</v>
      </c>
      <c r="H1170" s="26" t="s">
        <v>10</v>
      </c>
      <c r="I1170" s="5" t="n">
        <v>-13</v>
      </c>
      <c r="J1170" s="54" t="s">
        <v>38</v>
      </c>
    </row>
    <row r="1171" customFormat="false" ht="12.8" hidden="false" customHeight="false" outlineLevel="0" collapsed="false">
      <c r="G1171" s="25" t="n">
        <v>44405</v>
      </c>
      <c r="H1171" s="32" t="s">
        <v>15</v>
      </c>
      <c r="I1171" s="5" t="n">
        <v>-23</v>
      </c>
      <c r="J1171" s="54" t="s">
        <v>38</v>
      </c>
    </row>
    <row r="1172" customFormat="false" ht="12.8" hidden="false" customHeight="false" outlineLevel="0" collapsed="false">
      <c r="G1172" s="25" t="n">
        <v>44405</v>
      </c>
      <c r="H1172" s="32" t="s">
        <v>15</v>
      </c>
      <c r="I1172" s="5" t="n">
        <v>23.28</v>
      </c>
      <c r="J1172" s="54" t="s">
        <v>894</v>
      </c>
    </row>
    <row r="1173" customFormat="false" ht="12.8" hidden="false" customHeight="false" outlineLevel="0" collapsed="false">
      <c r="G1173" s="25" t="n">
        <v>44405</v>
      </c>
      <c r="H1173" s="32" t="s">
        <v>15</v>
      </c>
      <c r="I1173" s="5" t="n">
        <v>-21.53</v>
      </c>
      <c r="J1173" s="54" t="s">
        <v>37</v>
      </c>
    </row>
    <row r="1174" customFormat="false" ht="12.8" hidden="false" customHeight="false" outlineLevel="0" collapsed="false">
      <c r="G1174" s="25" t="n">
        <v>44406</v>
      </c>
      <c r="H1174" s="52" t="s">
        <v>14</v>
      </c>
      <c r="I1174" s="5" t="n">
        <v>-60</v>
      </c>
      <c r="J1174" s="10" t="s">
        <v>480</v>
      </c>
    </row>
    <row r="1175" customFormat="false" ht="12.8" hidden="false" customHeight="false" outlineLevel="0" collapsed="false">
      <c r="G1175" s="25" t="n">
        <v>44406</v>
      </c>
      <c r="H1175" s="48" t="s">
        <v>26</v>
      </c>
      <c r="I1175" s="5" t="n">
        <v>60</v>
      </c>
      <c r="J1175" s="10" t="s">
        <v>480</v>
      </c>
    </row>
    <row r="1176" customFormat="false" ht="12.8" hidden="false" customHeight="false" outlineLevel="0" collapsed="false">
      <c r="G1176" s="25" t="n">
        <v>44406</v>
      </c>
      <c r="H1176" s="48" t="s">
        <v>26</v>
      </c>
      <c r="I1176" s="5" t="n">
        <v>-60</v>
      </c>
      <c r="J1176" s="54" t="s">
        <v>37</v>
      </c>
    </row>
    <row r="1177" customFormat="false" ht="12.8" hidden="false" customHeight="false" outlineLevel="0" collapsed="false">
      <c r="G1177" s="25" t="n">
        <v>44406</v>
      </c>
      <c r="H1177" s="26" t="s">
        <v>10</v>
      </c>
      <c r="I1177" s="5" t="n">
        <v>-22.25</v>
      </c>
      <c r="J1177" s="54" t="s">
        <v>38</v>
      </c>
    </row>
    <row r="1178" customFormat="false" ht="12.8" hidden="false" customHeight="false" outlineLevel="0" collapsed="false">
      <c r="G1178" s="25" t="n">
        <v>44406</v>
      </c>
      <c r="H1178" s="32" t="s">
        <v>15</v>
      </c>
      <c r="I1178" s="5" t="n">
        <v>22.25</v>
      </c>
      <c r="J1178" s="54" t="s">
        <v>38</v>
      </c>
    </row>
    <row r="1179" customFormat="false" ht="12.8" hidden="false" customHeight="false" outlineLevel="0" collapsed="false">
      <c r="G1179" s="25" t="n">
        <v>44406</v>
      </c>
      <c r="H1179" s="32" t="s">
        <v>15</v>
      </c>
      <c r="I1179" s="5" t="n">
        <v>-14.28</v>
      </c>
      <c r="J1179" s="54" t="s">
        <v>37</v>
      </c>
    </row>
    <row r="1180" customFormat="false" ht="12.8" hidden="false" customHeight="false" outlineLevel="0" collapsed="false">
      <c r="G1180" s="25" t="n">
        <v>44407</v>
      </c>
      <c r="H1180" s="52" t="s">
        <v>14</v>
      </c>
      <c r="I1180" s="5" t="n">
        <v>-60</v>
      </c>
      <c r="J1180" s="10" t="s">
        <v>480</v>
      </c>
    </row>
    <row r="1181" customFormat="false" ht="12.8" hidden="false" customHeight="false" outlineLevel="0" collapsed="false">
      <c r="G1181" s="25" t="n">
        <v>44407</v>
      </c>
      <c r="H1181" s="48" t="s">
        <v>26</v>
      </c>
      <c r="I1181" s="5" t="n">
        <v>60</v>
      </c>
      <c r="J1181" s="10" t="s">
        <v>480</v>
      </c>
    </row>
    <row r="1182" customFormat="false" ht="12.8" hidden="false" customHeight="false" outlineLevel="0" collapsed="false">
      <c r="G1182" s="25" t="n">
        <v>44407</v>
      </c>
      <c r="H1182" s="48" t="s">
        <v>26</v>
      </c>
      <c r="I1182" s="5" t="n">
        <v>-60</v>
      </c>
      <c r="J1182" s="54" t="s">
        <v>37</v>
      </c>
    </row>
    <row r="1183" customFormat="false" ht="12.8" hidden="false" customHeight="false" outlineLevel="0" collapsed="false">
      <c r="G1183" s="25" t="n">
        <v>44407</v>
      </c>
      <c r="H1183" s="52" t="s">
        <v>14</v>
      </c>
      <c r="I1183" s="5" t="n">
        <v>-20</v>
      </c>
      <c r="J1183" s="10" t="s">
        <v>480</v>
      </c>
    </row>
    <row r="1184" customFormat="false" ht="12.8" hidden="false" customHeight="false" outlineLevel="0" collapsed="false">
      <c r="G1184" s="25" t="n">
        <v>44407</v>
      </c>
      <c r="H1184" s="48" t="s">
        <v>26</v>
      </c>
      <c r="I1184" s="5" t="n">
        <v>20</v>
      </c>
      <c r="J1184" s="10" t="s">
        <v>480</v>
      </c>
    </row>
    <row r="1185" customFormat="false" ht="12.8" hidden="false" customHeight="false" outlineLevel="0" collapsed="false">
      <c r="G1185" s="25" t="n">
        <v>44407</v>
      </c>
      <c r="H1185" s="48" t="s">
        <v>26</v>
      </c>
      <c r="I1185" s="5" t="n">
        <v>-20</v>
      </c>
      <c r="J1185" s="54" t="s">
        <v>37</v>
      </c>
    </row>
    <row r="1186" customFormat="false" ht="12.8" hidden="false" customHeight="false" outlineLevel="0" collapsed="false">
      <c r="G1186" s="25" t="n">
        <v>44407</v>
      </c>
      <c r="H1186" s="26" t="s">
        <v>10</v>
      </c>
      <c r="I1186" s="5" t="n">
        <v>-14.28</v>
      </c>
      <c r="J1186" s="54" t="s">
        <v>38</v>
      </c>
    </row>
    <row r="1187" customFormat="false" ht="12.8" hidden="false" customHeight="false" outlineLevel="0" collapsed="false">
      <c r="G1187" s="25" t="n">
        <v>44407</v>
      </c>
      <c r="H1187" s="32" t="s">
        <v>15</v>
      </c>
      <c r="I1187" s="5" t="n">
        <v>14.28</v>
      </c>
      <c r="J1187" s="54" t="s">
        <v>38</v>
      </c>
    </row>
    <row r="1188" customFormat="false" ht="12.8" hidden="false" customHeight="false" outlineLevel="0" collapsed="false">
      <c r="G1188" s="25" t="n">
        <v>44407</v>
      </c>
      <c r="H1188" s="32" t="s">
        <v>15</v>
      </c>
      <c r="I1188" s="5" t="n">
        <v>-20.24</v>
      </c>
      <c r="J1188" s="54" t="s">
        <v>37</v>
      </c>
    </row>
    <row r="1189" customFormat="false" ht="12.8" hidden="false" customHeight="false" outlineLevel="0" collapsed="false">
      <c r="G1189" s="25" t="n">
        <v>44408</v>
      </c>
      <c r="H1189" s="26" t="s">
        <v>10</v>
      </c>
      <c r="I1189" s="5" t="n">
        <v>-57</v>
      </c>
      <c r="J1189" s="54" t="s">
        <v>38</v>
      </c>
    </row>
    <row r="1190" customFormat="false" ht="12.8" hidden="false" customHeight="false" outlineLevel="0" collapsed="false">
      <c r="G1190" s="25" t="n">
        <v>44408</v>
      </c>
      <c r="H1190" s="32" t="s">
        <v>15</v>
      </c>
      <c r="I1190" s="5" t="n">
        <v>57</v>
      </c>
      <c r="J1190" s="54" t="s">
        <v>38</v>
      </c>
    </row>
    <row r="1191" customFormat="false" ht="12.8" hidden="false" customHeight="false" outlineLevel="0" collapsed="false">
      <c r="G1191" s="25" t="n">
        <v>44408</v>
      </c>
      <c r="H1191" s="32" t="s">
        <v>15</v>
      </c>
      <c r="I1191" s="5" t="n">
        <v>-60</v>
      </c>
      <c r="J1191" s="54" t="s">
        <v>37</v>
      </c>
    </row>
    <row r="1192" customFormat="false" ht="12.8" hidden="false" customHeight="false" outlineLevel="0" collapsed="false">
      <c r="G1192" s="25" t="n">
        <v>44408</v>
      </c>
      <c r="H1192" s="26" t="s">
        <v>10</v>
      </c>
      <c r="I1192" s="5" t="n">
        <v>0.19</v>
      </c>
      <c r="J1192" s="54" t="s">
        <v>930</v>
      </c>
    </row>
    <row r="1193" customFormat="false" ht="12.8" hidden="false" customHeight="false" outlineLevel="0" collapsed="false">
      <c r="G1193" s="25" t="n">
        <v>44408</v>
      </c>
      <c r="H1193" s="26" t="s">
        <v>10</v>
      </c>
      <c r="I1193" s="5" t="n">
        <v>-23.24</v>
      </c>
      <c r="J1193" s="54" t="s">
        <v>38</v>
      </c>
    </row>
    <row r="1194" customFormat="false" ht="12.8" hidden="false" customHeight="false" outlineLevel="0" collapsed="false">
      <c r="G1194" s="25" t="n">
        <v>44408</v>
      </c>
      <c r="H1194" s="32" t="s">
        <v>15</v>
      </c>
      <c r="I1194" s="5" t="n">
        <v>23.24</v>
      </c>
      <c r="J1194" s="54" t="s">
        <v>38</v>
      </c>
    </row>
    <row r="1195" customFormat="false" ht="12.8" hidden="false" customHeight="false" outlineLevel="0" collapsed="false">
      <c r="G1195" s="25" t="n">
        <v>44408</v>
      </c>
      <c r="H1195" s="32" t="s">
        <v>15</v>
      </c>
      <c r="I1195" s="5" t="n">
        <v>-20.47</v>
      </c>
      <c r="J1195" s="54" t="s">
        <v>37</v>
      </c>
    </row>
    <row r="1196" customFormat="false" ht="12.8" hidden="false" customHeight="false" outlineLevel="0" collapsed="false">
      <c r="G1196" s="25" t="n">
        <v>44409</v>
      </c>
      <c r="H1196" s="26" t="s">
        <v>10</v>
      </c>
      <c r="I1196" s="5" t="n">
        <v>-77</v>
      </c>
      <c r="J1196" s="54" t="s">
        <v>38</v>
      </c>
    </row>
    <row r="1197" customFormat="false" ht="12.8" hidden="false" customHeight="false" outlineLevel="0" collapsed="false">
      <c r="G1197" s="25" t="n">
        <v>44409</v>
      </c>
      <c r="H1197" s="32" t="s">
        <v>15</v>
      </c>
      <c r="I1197" s="5" t="n">
        <v>77</v>
      </c>
      <c r="J1197" s="54" t="s">
        <v>38</v>
      </c>
    </row>
    <row r="1198" customFormat="false" ht="12.8" hidden="false" customHeight="false" outlineLevel="0" collapsed="false">
      <c r="G1198" s="25" t="n">
        <v>44409</v>
      </c>
      <c r="H1198" s="32" t="s">
        <v>15</v>
      </c>
      <c r="I1198" s="5" t="n">
        <v>-60</v>
      </c>
      <c r="J1198" s="54" t="s">
        <v>37</v>
      </c>
    </row>
    <row r="1199" customFormat="false" ht="12.8" hidden="false" customHeight="false" outlineLevel="0" collapsed="false">
      <c r="G1199" s="25" t="n">
        <v>44409</v>
      </c>
      <c r="H1199" s="32" t="s">
        <v>15</v>
      </c>
      <c r="I1199" s="5" t="n">
        <v>-17.85</v>
      </c>
      <c r="J1199" s="54" t="s">
        <v>936</v>
      </c>
    </row>
    <row r="1200" customFormat="false" ht="12.8" hidden="false" customHeight="false" outlineLevel="0" collapsed="false">
      <c r="G1200" s="25" t="n">
        <v>44409</v>
      </c>
      <c r="H1200" s="26" t="s">
        <v>10</v>
      </c>
      <c r="I1200" s="5" t="n">
        <v>-21.32</v>
      </c>
      <c r="J1200" s="54" t="s">
        <v>38</v>
      </c>
    </row>
    <row r="1201" customFormat="false" ht="12.8" hidden="false" customHeight="false" outlineLevel="0" collapsed="false">
      <c r="G1201" s="25" t="n">
        <v>44409</v>
      </c>
      <c r="H1201" s="32" t="s">
        <v>15</v>
      </c>
      <c r="I1201" s="5" t="n">
        <v>21.32</v>
      </c>
      <c r="J1201" s="54" t="s">
        <v>38</v>
      </c>
    </row>
    <row r="1202" customFormat="false" ht="12.8" hidden="false" customHeight="false" outlineLevel="0" collapsed="false">
      <c r="G1202" s="25" t="n">
        <v>44409</v>
      </c>
      <c r="H1202" s="32" t="s">
        <v>15</v>
      </c>
      <c r="I1202" s="5" t="n">
        <v>-15.98</v>
      </c>
      <c r="J1202" s="54" t="s">
        <v>37</v>
      </c>
    </row>
    <row r="1203" customFormat="false" ht="12.8" hidden="false" customHeight="false" outlineLevel="0" collapsed="false">
      <c r="G1203" s="25" t="n">
        <v>44408</v>
      </c>
      <c r="H1203" s="43" t="s">
        <v>23</v>
      </c>
      <c r="I1203" s="5" t="n">
        <v>250</v>
      </c>
      <c r="J1203" s="10" t="s">
        <v>912</v>
      </c>
    </row>
    <row r="1204" customFormat="false" ht="12.8" hidden="false" customHeight="false" outlineLevel="0" collapsed="false">
      <c r="G1204" s="25" t="n">
        <v>44408</v>
      </c>
      <c r="H1204" s="43" t="s">
        <v>23</v>
      </c>
      <c r="I1204" s="5" t="n">
        <v>-5</v>
      </c>
      <c r="J1204" s="10" t="s">
        <v>130</v>
      </c>
    </row>
    <row r="1205" customFormat="false" ht="12.8" hidden="false" customHeight="false" outlineLevel="0" collapsed="false">
      <c r="G1205" s="25" t="n">
        <v>44408</v>
      </c>
      <c r="H1205" s="43" t="s">
        <v>23</v>
      </c>
      <c r="I1205" s="5" t="n">
        <v>-5</v>
      </c>
      <c r="J1205" s="10" t="s">
        <v>130</v>
      </c>
    </row>
    <row r="1206" customFormat="false" ht="12.8" hidden="false" customHeight="false" outlineLevel="0" collapsed="false">
      <c r="G1206" s="25" t="n">
        <v>44409</v>
      </c>
      <c r="H1206" s="48" t="s">
        <v>26</v>
      </c>
      <c r="I1206" s="5" t="n">
        <v>-5</v>
      </c>
      <c r="J1206" s="10" t="s">
        <v>881</v>
      </c>
    </row>
    <row r="1207" customFormat="false" ht="12.8" hidden="false" customHeight="false" outlineLevel="0" collapsed="false">
      <c r="G1207" s="25" t="n">
        <v>44410</v>
      </c>
      <c r="H1207" s="43" t="s">
        <v>23</v>
      </c>
      <c r="I1207" s="5" t="n">
        <v>-60</v>
      </c>
      <c r="J1207" s="10" t="s">
        <v>37</v>
      </c>
    </row>
    <row r="1208" customFormat="false" ht="12.8" hidden="false" customHeight="false" outlineLevel="0" collapsed="false">
      <c r="G1208" s="25" t="n">
        <v>44410</v>
      </c>
      <c r="H1208" s="43" t="s">
        <v>23</v>
      </c>
      <c r="I1208" s="5" t="n">
        <v>-20</v>
      </c>
      <c r="J1208" s="10" t="s">
        <v>37</v>
      </c>
    </row>
    <row r="1209" customFormat="false" ht="12.8" hidden="false" customHeight="false" outlineLevel="0" collapsed="false">
      <c r="G1209" s="25" t="n">
        <v>44410</v>
      </c>
      <c r="H1209" s="48" t="s">
        <v>26</v>
      </c>
      <c r="I1209" s="5" t="n">
        <v>-10</v>
      </c>
      <c r="J1209" s="10" t="s">
        <v>881</v>
      </c>
    </row>
    <row r="1210" customFormat="false" ht="12.8" hidden="false" customHeight="false" outlineLevel="0" collapsed="false">
      <c r="G1210" s="25" t="n">
        <v>44410</v>
      </c>
      <c r="H1210" s="26" t="s">
        <v>10</v>
      </c>
      <c r="I1210" s="5" t="n">
        <v>-15.98</v>
      </c>
      <c r="J1210" s="54" t="s">
        <v>38</v>
      </c>
    </row>
    <row r="1211" customFormat="false" ht="12.8" hidden="false" customHeight="false" outlineLevel="0" collapsed="false">
      <c r="G1211" s="25" t="n">
        <v>44410</v>
      </c>
      <c r="H1211" s="32" t="s">
        <v>15</v>
      </c>
      <c r="I1211" s="5" t="n">
        <v>15.98</v>
      </c>
      <c r="J1211" s="54" t="s">
        <v>38</v>
      </c>
    </row>
    <row r="1212" customFormat="false" ht="12.8" hidden="false" customHeight="false" outlineLevel="0" collapsed="false">
      <c r="G1212" s="25" t="n">
        <v>44410</v>
      </c>
      <c r="H1212" s="32" t="s">
        <v>15</v>
      </c>
      <c r="I1212" s="5" t="n">
        <v>-22.94</v>
      </c>
      <c r="J1212" s="54" t="s">
        <v>37</v>
      </c>
      <c r="K1212" s="10"/>
    </row>
    <row r="1213" customFormat="false" ht="12.8" hidden="false" customHeight="false" outlineLevel="0" collapsed="false">
      <c r="G1213" s="25" t="n">
        <v>44410</v>
      </c>
      <c r="H1213" s="43" t="s">
        <v>23</v>
      </c>
      <c r="I1213" s="5" t="n">
        <v>-17.5</v>
      </c>
      <c r="J1213" s="10" t="s">
        <v>37</v>
      </c>
    </row>
    <row r="1214" customFormat="false" ht="12.8" hidden="false" customHeight="false" outlineLevel="0" collapsed="false">
      <c r="G1214" s="25" t="n">
        <v>44411</v>
      </c>
      <c r="H1214" s="43" t="s">
        <v>23</v>
      </c>
      <c r="I1214" s="5" t="n">
        <v>-60</v>
      </c>
      <c r="J1214" s="10" t="s">
        <v>37</v>
      </c>
    </row>
    <row r="1215" customFormat="false" ht="12.8" hidden="false" customHeight="false" outlineLevel="0" collapsed="false">
      <c r="G1215" s="25" t="n">
        <v>44411</v>
      </c>
      <c r="H1215" s="48" t="s">
        <v>26</v>
      </c>
      <c r="I1215" s="5" t="n">
        <v>4402.96</v>
      </c>
      <c r="J1215" s="10" t="s">
        <v>855</v>
      </c>
    </row>
    <row r="1216" customFormat="false" ht="12.8" hidden="false" customHeight="false" outlineLevel="0" collapsed="false">
      <c r="G1216" s="25" t="n">
        <v>44411</v>
      </c>
      <c r="H1216" s="48" t="s">
        <v>26</v>
      </c>
      <c r="I1216" s="5" t="n">
        <v>-2500</v>
      </c>
      <c r="J1216" s="10" t="s">
        <v>146</v>
      </c>
    </row>
    <row r="1217" customFormat="false" ht="12.8" hidden="false" customHeight="false" outlineLevel="0" collapsed="false">
      <c r="G1217" s="25" t="n">
        <v>44411</v>
      </c>
      <c r="H1217" s="48" t="s">
        <v>26</v>
      </c>
      <c r="I1217" s="5" t="n">
        <v>-3</v>
      </c>
      <c r="J1217" s="10" t="s">
        <v>130</v>
      </c>
    </row>
    <row r="1218" customFormat="false" ht="12.8" hidden="false" customHeight="false" outlineLevel="0" collapsed="false">
      <c r="G1218" s="25" t="n">
        <v>44411</v>
      </c>
      <c r="H1218" s="32" t="s">
        <v>15</v>
      </c>
      <c r="I1218" s="471" t="n">
        <v>39025</v>
      </c>
      <c r="J1218" s="10" t="s">
        <v>146</v>
      </c>
    </row>
    <row r="1219" customFormat="false" ht="12.8" hidden="false" customHeight="false" outlineLevel="0" collapsed="false">
      <c r="G1219" s="25" t="n">
        <v>44411</v>
      </c>
      <c r="H1219" s="48" t="s">
        <v>26</v>
      </c>
      <c r="I1219" s="5" t="n">
        <v>-1909</v>
      </c>
      <c r="J1219" s="10" t="s">
        <v>56</v>
      </c>
    </row>
    <row r="1220" customFormat="false" ht="12.8" hidden="false" customHeight="false" outlineLevel="0" collapsed="false">
      <c r="G1220" s="25" t="n">
        <v>44411</v>
      </c>
      <c r="H1220" s="52" t="s">
        <v>14</v>
      </c>
      <c r="I1220" s="5" t="n">
        <v>1909</v>
      </c>
      <c r="J1220" s="10" t="s">
        <v>56</v>
      </c>
    </row>
    <row r="1221" customFormat="false" ht="12.8" hidden="false" customHeight="false" outlineLevel="0" collapsed="false">
      <c r="G1221" s="25" t="n">
        <v>44411</v>
      </c>
      <c r="H1221" s="32" t="s">
        <v>15</v>
      </c>
      <c r="I1221" s="5" t="n">
        <v>-1500</v>
      </c>
      <c r="J1221" s="54" t="s">
        <v>462</v>
      </c>
    </row>
    <row r="1222" customFormat="false" ht="12.8" hidden="false" customHeight="false" outlineLevel="0" collapsed="false">
      <c r="G1222" s="25" t="n">
        <v>44411</v>
      </c>
      <c r="H1222" s="26" t="s">
        <v>10</v>
      </c>
      <c r="I1222" s="5" t="n">
        <v>1500</v>
      </c>
      <c r="J1222" s="54" t="s">
        <v>462</v>
      </c>
    </row>
    <row r="1223" customFormat="false" ht="12.8" hidden="false" customHeight="false" outlineLevel="0" collapsed="false">
      <c r="G1223" s="25" t="n">
        <v>44411</v>
      </c>
      <c r="H1223" s="26" t="s">
        <v>10</v>
      </c>
      <c r="I1223" s="5" t="n">
        <v>-22.93</v>
      </c>
      <c r="J1223" s="54" t="s">
        <v>38</v>
      </c>
    </row>
    <row r="1224" customFormat="false" ht="12.8" hidden="false" customHeight="false" outlineLevel="0" collapsed="false">
      <c r="G1224" s="25" t="n">
        <v>44411</v>
      </c>
      <c r="H1224" s="32" t="s">
        <v>15</v>
      </c>
      <c r="I1224" s="5" t="n">
        <v>22.93</v>
      </c>
      <c r="J1224" s="54" t="s">
        <v>38</v>
      </c>
    </row>
    <row r="1225" customFormat="false" ht="12.8" hidden="false" customHeight="false" outlineLevel="0" collapsed="false">
      <c r="G1225" s="25" t="n">
        <v>44411</v>
      </c>
      <c r="H1225" s="32" t="s">
        <v>15</v>
      </c>
      <c r="I1225" s="5" t="n">
        <v>-1000</v>
      </c>
      <c r="J1225" s="10" t="s">
        <v>937</v>
      </c>
    </row>
    <row r="1226" customFormat="false" ht="12.8" hidden="false" customHeight="false" outlineLevel="0" collapsed="false">
      <c r="G1226" s="25" t="n">
        <v>44411</v>
      </c>
      <c r="H1226" s="32" t="s">
        <v>15</v>
      </c>
      <c r="I1226" s="5" t="n">
        <v>-23.12</v>
      </c>
      <c r="J1226" s="54" t="s">
        <v>37</v>
      </c>
    </row>
    <row r="1227" customFormat="false" ht="12.8" hidden="false" customHeight="false" outlineLevel="0" collapsed="false">
      <c r="G1227" s="25" t="n">
        <v>44411</v>
      </c>
      <c r="H1227" s="26" t="s">
        <v>10</v>
      </c>
      <c r="I1227" s="5" t="n">
        <v>-200</v>
      </c>
      <c r="J1227" s="54" t="s">
        <v>38</v>
      </c>
    </row>
    <row r="1228" customFormat="false" ht="12.8" hidden="false" customHeight="false" outlineLevel="0" collapsed="false">
      <c r="G1228" s="25" t="n">
        <v>44411</v>
      </c>
      <c r="H1228" s="32" t="s">
        <v>15</v>
      </c>
      <c r="I1228" s="5" t="n">
        <v>200</v>
      </c>
      <c r="J1228" s="54" t="s">
        <v>38</v>
      </c>
    </row>
    <row r="1229" customFormat="false" ht="12.8" hidden="false" customHeight="false" outlineLevel="0" collapsed="false">
      <c r="G1229" s="25" t="n">
        <v>44411</v>
      </c>
      <c r="H1229" s="32" t="s">
        <v>15</v>
      </c>
      <c r="I1229" s="5" t="n">
        <v>-200</v>
      </c>
      <c r="J1229" s="10" t="s">
        <v>868</v>
      </c>
    </row>
    <row r="1230" customFormat="false" ht="12.8" hidden="false" customHeight="false" outlineLevel="0" collapsed="false">
      <c r="G1230" s="25" t="n">
        <v>44411</v>
      </c>
      <c r="H1230" s="38" t="s">
        <v>21</v>
      </c>
      <c r="I1230" s="5" t="n">
        <v>-15</v>
      </c>
      <c r="J1230" s="54" t="s">
        <v>130</v>
      </c>
    </row>
    <row r="1231" customFormat="false" ht="12.8" hidden="false" customHeight="false" outlineLevel="0" collapsed="false">
      <c r="G1231" s="25" t="n">
        <v>44412</v>
      </c>
      <c r="H1231" s="43" t="s">
        <v>23</v>
      </c>
      <c r="I1231" s="5" t="n">
        <v>-80</v>
      </c>
      <c r="J1231" s="10" t="s">
        <v>37</v>
      </c>
    </row>
    <row r="1232" customFormat="false" ht="12.8" hidden="false" customHeight="false" outlineLevel="0" collapsed="false">
      <c r="G1232" s="25" t="n">
        <v>44412</v>
      </c>
      <c r="H1232" s="26" t="s">
        <v>10</v>
      </c>
      <c r="I1232" s="5" t="n">
        <v>-23.13</v>
      </c>
      <c r="J1232" s="54" t="s">
        <v>38</v>
      </c>
    </row>
    <row r="1233" customFormat="false" ht="12.8" hidden="false" customHeight="false" outlineLevel="0" collapsed="false">
      <c r="G1233" s="25" t="n">
        <v>44412</v>
      </c>
      <c r="H1233" s="32" t="s">
        <v>15</v>
      </c>
      <c r="I1233" s="5" t="n">
        <v>23.13</v>
      </c>
      <c r="J1233" s="54" t="s">
        <v>38</v>
      </c>
    </row>
    <row r="1234" customFormat="false" ht="12.8" hidden="false" customHeight="false" outlineLevel="0" collapsed="false">
      <c r="G1234" s="25" t="n">
        <v>44412</v>
      </c>
      <c r="H1234" s="32" t="s">
        <v>15</v>
      </c>
      <c r="I1234" s="5" t="n">
        <v>-23.82</v>
      </c>
      <c r="J1234" s="54" t="s">
        <v>37</v>
      </c>
    </row>
    <row r="1235" customFormat="false" ht="12.8" hidden="false" customHeight="false" outlineLevel="0" collapsed="false">
      <c r="G1235" s="25" t="n">
        <v>44413</v>
      </c>
      <c r="H1235" s="26" t="s">
        <v>10</v>
      </c>
      <c r="I1235" s="5" t="n">
        <v>-60</v>
      </c>
      <c r="J1235" s="54" t="s">
        <v>38</v>
      </c>
    </row>
    <row r="1236" customFormat="false" ht="12.8" hidden="false" customHeight="false" outlineLevel="0" collapsed="false">
      <c r="G1236" s="25" t="n">
        <v>44413</v>
      </c>
      <c r="H1236" s="32" t="s">
        <v>15</v>
      </c>
      <c r="I1236" s="5" t="n">
        <v>60</v>
      </c>
      <c r="J1236" s="54" t="s">
        <v>38</v>
      </c>
    </row>
    <row r="1237" customFormat="false" ht="12.8" hidden="false" customHeight="false" outlineLevel="0" collapsed="false">
      <c r="G1237" s="25" t="n">
        <v>44413</v>
      </c>
      <c r="H1237" s="32" t="s">
        <v>15</v>
      </c>
      <c r="I1237" s="5" t="n">
        <v>-60</v>
      </c>
      <c r="J1237" s="54" t="s">
        <v>37</v>
      </c>
    </row>
    <row r="1238" customFormat="false" ht="12.8" hidden="false" customHeight="false" outlineLevel="0" collapsed="false">
      <c r="G1238" s="25" t="n">
        <v>44413</v>
      </c>
      <c r="H1238" s="52" t="s">
        <v>14</v>
      </c>
      <c r="I1238" s="5" t="n">
        <v>-250</v>
      </c>
      <c r="J1238" s="10" t="s">
        <v>480</v>
      </c>
    </row>
    <row r="1239" customFormat="false" ht="12.8" hidden="false" customHeight="false" outlineLevel="0" collapsed="false">
      <c r="G1239" s="25" t="n">
        <v>44413</v>
      </c>
      <c r="H1239" s="48" t="s">
        <v>26</v>
      </c>
      <c r="I1239" s="5" t="n">
        <v>250</v>
      </c>
      <c r="J1239" s="10" t="s">
        <v>480</v>
      </c>
    </row>
    <row r="1240" customFormat="false" ht="12.8" hidden="false" customHeight="false" outlineLevel="0" collapsed="false">
      <c r="G1240" s="25" t="n">
        <v>44413</v>
      </c>
      <c r="H1240" s="26" t="s">
        <v>10</v>
      </c>
      <c r="I1240" s="5" t="n">
        <v>-23.82</v>
      </c>
      <c r="J1240" s="54" t="s">
        <v>38</v>
      </c>
    </row>
    <row r="1241" customFormat="false" ht="12.8" hidden="false" customHeight="false" outlineLevel="0" collapsed="false">
      <c r="G1241" s="25" t="n">
        <v>44413</v>
      </c>
      <c r="H1241" s="32" t="s">
        <v>15</v>
      </c>
      <c r="I1241" s="5" t="n">
        <v>23.82</v>
      </c>
      <c r="J1241" s="54" t="s">
        <v>38</v>
      </c>
    </row>
    <row r="1242" customFormat="false" ht="12.8" hidden="false" customHeight="false" outlineLevel="0" collapsed="false">
      <c r="G1242" s="25" t="n">
        <v>44413</v>
      </c>
      <c r="H1242" s="32" t="s">
        <v>15</v>
      </c>
      <c r="I1242" s="5" t="n">
        <v>-23.87</v>
      </c>
      <c r="J1242" s="54" t="s">
        <v>37</v>
      </c>
    </row>
    <row r="1243" customFormat="false" ht="12.8" hidden="false" customHeight="false" outlineLevel="0" collapsed="false">
      <c r="G1243" s="25" t="n">
        <v>44413</v>
      </c>
      <c r="H1243" s="52" t="s">
        <v>14</v>
      </c>
      <c r="I1243" s="5" t="n">
        <v>-100</v>
      </c>
      <c r="J1243" s="10" t="s">
        <v>480</v>
      </c>
    </row>
    <row r="1244" customFormat="false" ht="12.8" hidden="false" customHeight="false" outlineLevel="0" collapsed="false">
      <c r="G1244" s="25" t="n">
        <v>44413</v>
      </c>
      <c r="H1244" s="48" t="s">
        <v>26</v>
      </c>
      <c r="I1244" s="5" t="n">
        <v>100</v>
      </c>
      <c r="J1244" s="10" t="s">
        <v>480</v>
      </c>
    </row>
    <row r="1245" customFormat="false" ht="12.8" hidden="false" customHeight="false" outlineLevel="0" collapsed="false">
      <c r="G1245" s="25" t="n">
        <v>44413</v>
      </c>
      <c r="H1245" s="48" t="s">
        <v>26</v>
      </c>
      <c r="I1245" s="5" t="n">
        <v>-350</v>
      </c>
      <c r="J1245" s="10" t="s">
        <v>938</v>
      </c>
    </row>
    <row r="1246" customFormat="false" ht="12.8" hidden="false" customHeight="false" outlineLevel="0" collapsed="false">
      <c r="G1246" s="25" t="n">
        <v>44414</v>
      </c>
      <c r="H1246" s="26" t="s">
        <v>10</v>
      </c>
      <c r="I1246" s="5" t="n">
        <v>-60</v>
      </c>
      <c r="J1246" s="54" t="s">
        <v>38</v>
      </c>
    </row>
    <row r="1247" customFormat="false" ht="12.8" hidden="false" customHeight="false" outlineLevel="0" collapsed="false">
      <c r="G1247" s="25" t="n">
        <v>44414</v>
      </c>
      <c r="H1247" s="32" t="s">
        <v>15</v>
      </c>
      <c r="I1247" s="5" t="n">
        <v>60</v>
      </c>
      <c r="J1247" s="54" t="s">
        <v>38</v>
      </c>
    </row>
    <row r="1248" customFormat="false" ht="12.8" hidden="false" customHeight="false" outlineLevel="0" collapsed="false">
      <c r="G1248" s="25" t="n">
        <v>44414</v>
      </c>
      <c r="H1248" s="32" t="s">
        <v>15</v>
      </c>
      <c r="I1248" s="5" t="n">
        <v>-60</v>
      </c>
      <c r="J1248" s="54" t="s">
        <v>37</v>
      </c>
    </row>
    <row r="1249" customFormat="false" ht="12.8" hidden="false" customHeight="false" outlineLevel="0" collapsed="false">
      <c r="G1249" s="25" t="n">
        <v>44414</v>
      </c>
      <c r="H1249" s="43" t="s">
        <v>23</v>
      </c>
      <c r="I1249" s="5" t="n">
        <v>-7.69</v>
      </c>
      <c r="J1249" s="10" t="s">
        <v>37</v>
      </c>
    </row>
    <row r="1250" customFormat="false" ht="12.8" hidden="false" customHeight="false" outlineLevel="0" collapsed="false">
      <c r="G1250" s="25" t="n">
        <v>44414</v>
      </c>
      <c r="H1250" s="26" t="s">
        <v>10</v>
      </c>
      <c r="I1250" s="5" t="n">
        <v>-23.87</v>
      </c>
      <c r="J1250" s="54" t="s">
        <v>38</v>
      </c>
    </row>
    <row r="1251" customFormat="false" ht="12.8" hidden="false" customHeight="false" outlineLevel="0" collapsed="false">
      <c r="G1251" s="25" t="n">
        <v>44414</v>
      </c>
      <c r="H1251" s="32" t="s">
        <v>15</v>
      </c>
      <c r="I1251" s="5" t="n">
        <v>23.87</v>
      </c>
      <c r="J1251" s="54" t="s">
        <v>38</v>
      </c>
    </row>
    <row r="1252" customFormat="false" ht="12.8" hidden="false" customHeight="false" outlineLevel="0" collapsed="false">
      <c r="G1252" s="25" t="n">
        <v>44414</v>
      </c>
      <c r="H1252" s="32" t="s">
        <v>15</v>
      </c>
      <c r="I1252" s="5" t="n">
        <v>-21.53</v>
      </c>
      <c r="J1252" s="54" t="s">
        <v>37</v>
      </c>
    </row>
    <row r="1253" customFormat="false" ht="12.8" hidden="false" customHeight="false" outlineLevel="0" collapsed="false">
      <c r="G1253" s="25" t="n">
        <v>44415</v>
      </c>
      <c r="H1253" s="26" t="s">
        <v>10</v>
      </c>
      <c r="I1253" s="5" t="n">
        <v>-58</v>
      </c>
      <c r="J1253" s="54" t="s">
        <v>38</v>
      </c>
    </row>
    <row r="1254" customFormat="false" ht="12.8" hidden="false" customHeight="false" outlineLevel="0" collapsed="false">
      <c r="G1254" s="25" t="n">
        <v>44415</v>
      </c>
      <c r="H1254" s="32" t="s">
        <v>15</v>
      </c>
      <c r="I1254" s="5" t="n">
        <v>58</v>
      </c>
      <c r="J1254" s="54" t="s">
        <v>38</v>
      </c>
    </row>
    <row r="1255" customFormat="false" ht="12.8" hidden="false" customHeight="false" outlineLevel="0" collapsed="false">
      <c r="G1255" s="25" t="n">
        <v>44415</v>
      </c>
      <c r="H1255" s="32" t="s">
        <v>15</v>
      </c>
      <c r="I1255" s="5" t="n">
        <v>-60</v>
      </c>
      <c r="J1255" s="54" t="s">
        <v>37</v>
      </c>
    </row>
    <row r="1256" customFormat="false" ht="12.8" hidden="false" customHeight="false" outlineLevel="0" collapsed="false">
      <c r="G1256" s="25" t="n">
        <v>44415</v>
      </c>
      <c r="H1256" s="26" t="s">
        <v>10</v>
      </c>
      <c r="I1256" s="5" t="n">
        <v>-23.53</v>
      </c>
      <c r="J1256" s="54" t="s">
        <v>38</v>
      </c>
    </row>
    <row r="1257" customFormat="false" ht="12.8" hidden="false" customHeight="false" outlineLevel="0" collapsed="false">
      <c r="G1257" s="25" t="n">
        <v>44415</v>
      </c>
      <c r="H1257" s="32" t="s">
        <v>15</v>
      </c>
      <c r="I1257" s="5" t="n">
        <v>23.53</v>
      </c>
      <c r="J1257" s="54" t="s">
        <v>38</v>
      </c>
    </row>
    <row r="1258" customFormat="false" ht="12.8" hidden="false" customHeight="false" outlineLevel="0" collapsed="false">
      <c r="G1258" s="25" t="n">
        <v>44415</v>
      </c>
      <c r="H1258" s="32" t="s">
        <v>15</v>
      </c>
      <c r="I1258" s="5" t="n">
        <v>-23.92</v>
      </c>
      <c r="J1258" s="54" t="s">
        <v>37</v>
      </c>
    </row>
    <row r="1259" customFormat="false" ht="12.8" hidden="false" customHeight="false" outlineLevel="0" collapsed="false">
      <c r="G1259" s="25" t="n">
        <v>44416</v>
      </c>
      <c r="H1259" s="26" t="s">
        <v>10</v>
      </c>
      <c r="I1259" s="5" t="n">
        <v>-60</v>
      </c>
      <c r="J1259" s="54" t="s">
        <v>38</v>
      </c>
    </row>
    <row r="1260" customFormat="false" ht="12.8" hidden="false" customHeight="false" outlineLevel="0" collapsed="false">
      <c r="G1260" s="25" t="n">
        <v>44416</v>
      </c>
      <c r="H1260" s="32" t="s">
        <v>15</v>
      </c>
      <c r="I1260" s="5" t="n">
        <v>60</v>
      </c>
      <c r="J1260" s="54" t="s">
        <v>38</v>
      </c>
    </row>
    <row r="1261" customFormat="false" ht="12.8" hidden="false" customHeight="false" outlineLevel="0" collapsed="false">
      <c r="G1261" s="25" t="n">
        <v>44416</v>
      </c>
      <c r="H1261" s="32" t="s">
        <v>15</v>
      </c>
      <c r="I1261" s="5" t="n">
        <v>-60</v>
      </c>
      <c r="J1261" s="54" t="s">
        <v>37</v>
      </c>
    </row>
    <row r="1262" customFormat="false" ht="12.8" hidden="false" customHeight="false" outlineLevel="0" collapsed="false">
      <c r="G1262" s="25" t="n">
        <v>44416</v>
      </c>
      <c r="H1262" s="26" t="s">
        <v>10</v>
      </c>
      <c r="I1262" s="5" t="n">
        <v>-19.92</v>
      </c>
      <c r="J1262" s="54" t="s">
        <v>38</v>
      </c>
    </row>
    <row r="1263" customFormat="false" ht="12.8" hidden="false" customHeight="false" outlineLevel="0" collapsed="false">
      <c r="G1263" s="25" t="n">
        <v>44416</v>
      </c>
      <c r="H1263" s="32" t="s">
        <v>15</v>
      </c>
      <c r="I1263" s="5" t="n">
        <v>19.92</v>
      </c>
      <c r="J1263" s="54" t="s">
        <v>38</v>
      </c>
    </row>
    <row r="1264" customFormat="false" ht="12.8" hidden="false" customHeight="false" outlineLevel="0" collapsed="false">
      <c r="G1264" s="25" t="n">
        <v>44416</v>
      </c>
      <c r="H1264" s="32" t="s">
        <v>15</v>
      </c>
      <c r="I1264" s="5" t="n">
        <v>-17.94</v>
      </c>
      <c r="J1264" s="54" t="s">
        <v>37</v>
      </c>
    </row>
    <row r="1265" customFormat="false" ht="12.8" hidden="false" customHeight="false" outlineLevel="0" collapsed="false">
      <c r="G1265" s="25" t="n">
        <v>44417</v>
      </c>
      <c r="H1265" s="26" t="s">
        <v>10</v>
      </c>
      <c r="I1265" s="5" t="n">
        <v>-77.94</v>
      </c>
      <c r="J1265" s="54" t="s">
        <v>38</v>
      </c>
    </row>
    <row r="1266" customFormat="false" ht="12.8" hidden="false" customHeight="false" outlineLevel="0" collapsed="false">
      <c r="G1266" s="25" t="n">
        <v>44417</v>
      </c>
      <c r="H1266" s="32" t="s">
        <v>15</v>
      </c>
      <c r="I1266" s="5" t="n">
        <v>77.94</v>
      </c>
      <c r="J1266" s="54" t="s">
        <v>38</v>
      </c>
    </row>
    <row r="1267" customFormat="false" ht="12.8" hidden="false" customHeight="false" outlineLevel="0" collapsed="false">
      <c r="G1267" s="25" t="n">
        <v>44417</v>
      </c>
      <c r="H1267" s="32" t="s">
        <v>15</v>
      </c>
      <c r="I1267" s="5" t="n">
        <v>-60</v>
      </c>
      <c r="J1267" s="54" t="s">
        <v>37</v>
      </c>
    </row>
    <row r="1268" customFormat="false" ht="12.8" hidden="false" customHeight="false" outlineLevel="0" collapsed="false">
      <c r="G1268" s="25" t="n">
        <v>44417</v>
      </c>
      <c r="H1268" s="32" t="s">
        <v>15</v>
      </c>
      <c r="I1268" s="5" t="n">
        <v>-16.11</v>
      </c>
      <c r="J1268" s="54" t="s">
        <v>37</v>
      </c>
    </row>
    <row r="1269" customFormat="false" ht="12.8" hidden="false" customHeight="false" outlineLevel="0" collapsed="false">
      <c r="G1269" s="25" t="n">
        <v>44417</v>
      </c>
      <c r="H1269" s="52" t="s">
        <v>14</v>
      </c>
      <c r="I1269" s="5" t="n">
        <v>-30</v>
      </c>
      <c r="J1269" s="10" t="s">
        <v>480</v>
      </c>
    </row>
    <row r="1270" customFormat="false" ht="12.8" hidden="false" customHeight="false" outlineLevel="0" collapsed="false">
      <c r="G1270" s="25" t="n">
        <v>44417</v>
      </c>
      <c r="H1270" s="48" t="s">
        <v>26</v>
      </c>
      <c r="I1270" s="5" t="n">
        <v>30</v>
      </c>
      <c r="J1270" s="10" t="s">
        <v>480</v>
      </c>
    </row>
    <row r="1271" customFormat="false" ht="12.8" hidden="false" customHeight="false" outlineLevel="0" collapsed="false">
      <c r="G1271" s="25" t="n">
        <v>44417</v>
      </c>
      <c r="H1271" s="48" t="s">
        <v>26</v>
      </c>
      <c r="I1271" s="5" t="n">
        <v>-15.1</v>
      </c>
      <c r="J1271" s="10" t="s">
        <v>37</v>
      </c>
    </row>
    <row r="1272" customFormat="false" ht="12.8" hidden="false" customHeight="false" outlineLevel="0" collapsed="false">
      <c r="G1272" s="25" t="n">
        <v>44417</v>
      </c>
      <c r="H1272" s="48" t="s">
        <v>26</v>
      </c>
      <c r="I1272" s="5" t="n">
        <v>-11.78</v>
      </c>
      <c r="J1272" s="10" t="s">
        <v>37</v>
      </c>
    </row>
    <row r="1273" customFormat="false" ht="12.8" hidden="false" customHeight="false" outlineLevel="0" collapsed="false">
      <c r="G1273" s="25" t="n">
        <v>44418</v>
      </c>
      <c r="H1273" s="26" t="s">
        <v>10</v>
      </c>
      <c r="I1273" s="5" t="n">
        <v>-76.11</v>
      </c>
      <c r="J1273" s="54" t="s">
        <v>38</v>
      </c>
    </row>
    <row r="1274" customFormat="false" ht="12.8" hidden="false" customHeight="false" outlineLevel="0" collapsed="false">
      <c r="G1274" s="25" t="n">
        <v>44418</v>
      </c>
      <c r="H1274" s="32" t="s">
        <v>15</v>
      </c>
      <c r="I1274" s="5" t="n">
        <v>76.11</v>
      </c>
      <c r="J1274" s="54" t="s">
        <v>38</v>
      </c>
    </row>
    <row r="1275" customFormat="false" ht="12.8" hidden="false" customHeight="false" outlineLevel="0" collapsed="false">
      <c r="G1275" s="25" t="n">
        <v>44418</v>
      </c>
      <c r="H1275" s="32" t="s">
        <v>15</v>
      </c>
      <c r="I1275" s="5" t="n">
        <v>-60</v>
      </c>
      <c r="J1275" s="54" t="s">
        <v>37</v>
      </c>
    </row>
    <row r="1276" customFormat="false" ht="12.8" hidden="false" customHeight="false" outlineLevel="0" collapsed="false">
      <c r="G1276" s="25" t="n">
        <v>44418</v>
      </c>
      <c r="H1276" s="32" t="s">
        <v>15</v>
      </c>
      <c r="I1276" s="5" t="n">
        <v>-19.16</v>
      </c>
      <c r="J1276" s="54" t="s">
        <v>37</v>
      </c>
    </row>
    <row r="1277" customFormat="false" ht="12.8" hidden="false" customHeight="false" outlineLevel="0" collapsed="false">
      <c r="G1277" s="25" t="n">
        <v>44419</v>
      </c>
      <c r="H1277" s="26" t="s">
        <v>10</v>
      </c>
      <c r="I1277" s="5" t="n">
        <v>-79.16</v>
      </c>
      <c r="J1277" s="54" t="s">
        <v>38</v>
      </c>
    </row>
    <row r="1278" customFormat="false" ht="12.8" hidden="false" customHeight="false" outlineLevel="0" collapsed="false">
      <c r="G1278" s="25" t="n">
        <v>44419</v>
      </c>
      <c r="H1278" s="32" t="s">
        <v>15</v>
      </c>
      <c r="I1278" s="5" t="n">
        <v>79.16</v>
      </c>
      <c r="J1278" s="54" t="s">
        <v>38</v>
      </c>
    </row>
    <row r="1279" customFormat="false" ht="12.8" hidden="false" customHeight="false" outlineLevel="0" collapsed="false">
      <c r="G1279" s="25" t="n">
        <v>44419</v>
      </c>
      <c r="H1279" s="32" t="s">
        <v>15</v>
      </c>
      <c r="I1279" s="5" t="n">
        <v>-60</v>
      </c>
      <c r="J1279" s="54" t="s">
        <v>37</v>
      </c>
    </row>
    <row r="1280" customFormat="false" ht="12.8" hidden="false" customHeight="false" outlineLevel="0" collapsed="false">
      <c r="G1280" s="25" t="n">
        <v>44419</v>
      </c>
      <c r="H1280" s="32" t="s">
        <v>15</v>
      </c>
      <c r="I1280" s="5" t="n">
        <v>-4.58</v>
      </c>
      <c r="J1280" s="54" t="s">
        <v>37</v>
      </c>
    </row>
    <row r="1281" customFormat="false" ht="12.8" hidden="false" customHeight="false" outlineLevel="0" collapsed="false">
      <c r="G1281" s="25" t="n">
        <v>44419</v>
      </c>
      <c r="H1281" s="32" t="s">
        <v>15</v>
      </c>
      <c r="I1281" s="5" t="n">
        <v>-10</v>
      </c>
      <c r="J1281" s="10" t="s">
        <v>462</v>
      </c>
    </row>
    <row r="1282" customFormat="false" ht="12.8" hidden="false" customHeight="false" outlineLevel="0" collapsed="false">
      <c r="G1282" s="25" t="n">
        <v>44419</v>
      </c>
      <c r="H1282" s="26" t="s">
        <v>10</v>
      </c>
      <c r="I1282" s="5" t="n">
        <v>10</v>
      </c>
      <c r="J1282" s="10" t="s">
        <v>462</v>
      </c>
    </row>
    <row r="1283" customFormat="false" ht="12.8" hidden="false" customHeight="false" outlineLevel="0" collapsed="false">
      <c r="G1283" s="25" t="n">
        <v>44420</v>
      </c>
      <c r="H1283" s="26" t="s">
        <v>10</v>
      </c>
      <c r="I1283" s="5" t="n">
        <v>-64.58</v>
      </c>
      <c r="J1283" s="54" t="s">
        <v>38</v>
      </c>
    </row>
    <row r="1284" customFormat="false" ht="12.8" hidden="false" customHeight="false" outlineLevel="0" collapsed="false">
      <c r="G1284" s="25" t="n">
        <v>44420</v>
      </c>
      <c r="H1284" s="32" t="s">
        <v>15</v>
      </c>
      <c r="I1284" s="5" t="n">
        <v>64.58</v>
      </c>
      <c r="J1284" s="54" t="s">
        <v>38</v>
      </c>
    </row>
    <row r="1285" customFormat="false" ht="12.8" hidden="false" customHeight="false" outlineLevel="0" collapsed="false">
      <c r="G1285" s="25" t="n">
        <v>44420</v>
      </c>
      <c r="H1285" s="32" t="s">
        <v>15</v>
      </c>
      <c r="I1285" s="5" t="n">
        <v>-60</v>
      </c>
      <c r="J1285" s="54" t="s">
        <v>37</v>
      </c>
    </row>
    <row r="1286" customFormat="false" ht="12.8" hidden="false" customHeight="false" outlineLevel="0" collapsed="false">
      <c r="G1286" s="25" t="n">
        <v>44420</v>
      </c>
      <c r="H1286" s="32" t="s">
        <v>15</v>
      </c>
      <c r="I1286" s="5" t="n">
        <v>-8.88</v>
      </c>
      <c r="J1286" s="54" t="s">
        <v>37</v>
      </c>
    </row>
    <row r="1287" customFormat="false" ht="12.8" hidden="false" customHeight="false" outlineLevel="0" collapsed="false">
      <c r="G1287" s="25" t="n">
        <v>44421</v>
      </c>
      <c r="H1287" s="26" t="s">
        <v>10</v>
      </c>
      <c r="I1287" s="5" t="n">
        <v>-68.88</v>
      </c>
      <c r="J1287" s="54" t="s">
        <v>38</v>
      </c>
    </row>
    <row r="1288" customFormat="false" ht="12.8" hidden="false" customHeight="false" outlineLevel="0" collapsed="false">
      <c r="G1288" s="25" t="n">
        <v>44421</v>
      </c>
      <c r="H1288" s="32" t="s">
        <v>15</v>
      </c>
      <c r="I1288" s="5" t="n">
        <v>68.88</v>
      </c>
      <c r="J1288" s="54" t="s">
        <v>38</v>
      </c>
    </row>
    <row r="1289" customFormat="false" ht="12.8" hidden="false" customHeight="false" outlineLevel="0" collapsed="false">
      <c r="G1289" s="25" t="n">
        <v>44421</v>
      </c>
      <c r="H1289" s="32" t="s">
        <v>15</v>
      </c>
      <c r="I1289" s="5" t="n">
        <v>-60</v>
      </c>
      <c r="J1289" s="54" t="s">
        <v>37</v>
      </c>
    </row>
    <row r="1290" customFormat="false" ht="12.8" hidden="false" customHeight="false" outlineLevel="0" collapsed="false">
      <c r="G1290" s="25" t="n">
        <v>44421</v>
      </c>
      <c r="H1290" s="32" t="s">
        <v>15</v>
      </c>
      <c r="I1290" s="5" t="n">
        <v>-7.68</v>
      </c>
      <c r="J1290" s="54" t="s">
        <v>37</v>
      </c>
    </row>
    <row r="1291" customFormat="false" ht="12.8" hidden="false" customHeight="false" outlineLevel="0" collapsed="false">
      <c r="G1291" s="25" t="n">
        <v>44421</v>
      </c>
      <c r="H1291" s="43" t="s">
        <v>23</v>
      </c>
      <c r="I1291" s="5" t="n">
        <v>1386</v>
      </c>
      <c r="J1291" s="54" t="s">
        <v>912</v>
      </c>
    </row>
    <row r="1292" customFormat="false" ht="12.8" hidden="false" customHeight="false" outlineLevel="0" collapsed="false">
      <c r="G1292" s="25" t="n">
        <v>44421</v>
      </c>
      <c r="H1292" s="43" t="s">
        <v>23</v>
      </c>
      <c r="I1292" s="5" t="n">
        <v>500</v>
      </c>
      <c r="J1292" s="54" t="s">
        <v>912</v>
      </c>
    </row>
    <row r="1293" customFormat="false" ht="12.8" hidden="false" customHeight="false" outlineLevel="0" collapsed="false">
      <c r="G1293" s="25" t="n">
        <v>44421</v>
      </c>
      <c r="H1293" s="43" t="s">
        <v>23</v>
      </c>
      <c r="I1293" s="5" t="n">
        <v>-5</v>
      </c>
      <c r="J1293" s="54" t="s">
        <v>939</v>
      </c>
    </row>
    <row r="1294" customFormat="false" ht="12.8" hidden="false" customHeight="false" outlineLevel="0" collapsed="false">
      <c r="G1294" s="25" t="n">
        <v>44421</v>
      </c>
      <c r="H1294" s="43" t="s">
        <v>23</v>
      </c>
      <c r="I1294" s="5" t="n">
        <v>-15</v>
      </c>
      <c r="J1294" s="10" t="s">
        <v>880</v>
      </c>
    </row>
    <row r="1295" customFormat="false" ht="12.8" hidden="false" customHeight="false" outlineLevel="0" collapsed="false">
      <c r="D1295" s="5"/>
      <c r="G1295" s="25" t="n">
        <v>44421</v>
      </c>
      <c r="H1295" s="38" t="s">
        <v>21</v>
      </c>
      <c r="I1295" s="5" t="n">
        <v>15</v>
      </c>
      <c r="J1295" s="10" t="s">
        <v>880</v>
      </c>
    </row>
    <row r="1296" customFormat="false" ht="12.8" hidden="false" customHeight="false" outlineLevel="0" collapsed="false">
      <c r="D1296" s="5"/>
      <c r="G1296" s="25" t="n">
        <v>44421</v>
      </c>
      <c r="H1296" s="43" t="s">
        <v>23</v>
      </c>
      <c r="I1296" s="5" t="n">
        <v>-950</v>
      </c>
      <c r="J1296" s="10" t="s">
        <v>940</v>
      </c>
    </row>
    <row r="1297" customFormat="false" ht="12.8" hidden="false" customHeight="false" outlineLevel="0" collapsed="false">
      <c r="D1297" s="5"/>
      <c r="G1297" s="25" t="n">
        <v>44421</v>
      </c>
      <c r="H1297" s="43" t="s">
        <v>23</v>
      </c>
      <c r="I1297" s="5" t="n">
        <v>-139.78</v>
      </c>
      <c r="J1297" s="10" t="s">
        <v>47</v>
      </c>
    </row>
    <row r="1298" customFormat="false" ht="12.8" hidden="false" customHeight="false" outlineLevel="0" collapsed="false">
      <c r="G1298" s="25" t="n">
        <v>44421</v>
      </c>
      <c r="H1298" s="43" t="s">
        <v>23</v>
      </c>
      <c r="I1298" s="5" t="n">
        <v>-65</v>
      </c>
      <c r="J1298" s="10" t="s">
        <v>844</v>
      </c>
    </row>
    <row r="1299" customFormat="false" ht="12.8" hidden="false" customHeight="false" outlineLevel="0" collapsed="false">
      <c r="G1299" s="25" t="n">
        <v>44422</v>
      </c>
      <c r="H1299" s="26" t="s">
        <v>10</v>
      </c>
      <c r="I1299" s="5" t="n">
        <v>-68</v>
      </c>
      <c r="J1299" s="54" t="s">
        <v>38</v>
      </c>
    </row>
    <row r="1300" customFormat="false" ht="12.8" hidden="false" customHeight="false" outlineLevel="0" collapsed="false">
      <c r="G1300" s="25" t="n">
        <v>44422</v>
      </c>
      <c r="H1300" s="32" t="s">
        <v>15</v>
      </c>
      <c r="I1300" s="5" t="n">
        <v>68</v>
      </c>
      <c r="J1300" s="54" t="s">
        <v>38</v>
      </c>
    </row>
    <row r="1301" customFormat="false" ht="12.8" hidden="false" customHeight="false" outlineLevel="0" collapsed="false">
      <c r="G1301" s="25" t="n">
        <v>44422</v>
      </c>
      <c r="H1301" s="32" t="s">
        <v>15</v>
      </c>
      <c r="I1301" s="5" t="n">
        <v>-60</v>
      </c>
      <c r="J1301" s="54" t="s">
        <v>37</v>
      </c>
    </row>
    <row r="1302" customFormat="false" ht="12.8" hidden="false" customHeight="false" outlineLevel="0" collapsed="false">
      <c r="G1302" s="25" t="n">
        <v>44422</v>
      </c>
      <c r="H1302" s="32" t="s">
        <v>15</v>
      </c>
      <c r="I1302" s="5" t="n">
        <v>-8.53</v>
      </c>
      <c r="J1302" s="54" t="s">
        <v>37</v>
      </c>
    </row>
    <row r="1303" customFormat="false" ht="12.8" hidden="false" customHeight="false" outlineLevel="0" collapsed="false">
      <c r="G1303" s="25" t="n">
        <v>44423</v>
      </c>
      <c r="H1303" s="26" t="s">
        <v>10</v>
      </c>
      <c r="I1303" s="5" t="n">
        <v>-68.5</v>
      </c>
      <c r="J1303" s="54" t="s">
        <v>38</v>
      </c>
    </row>
    <row r="1304" customFormat="false" ht="12.8" hidden="false" customHeight="false" outlineLevel="0" collapsed="false">
      <c r="G1304" s="25" t="n">
        <v>44423</v>
      </c>
      <c r="H1304" s="32" t="s">
        <v>15</v>
      </c>
      <c r="I1304" s="5" t="n">
        <v>68.5</v>
      </c>
      <c r="J1304" s="54" t="s">
        <v>38</v>
      </c>
    </row>
    <row r="1305" customFormat="false" ht="12.8" hidden="false" customHeight="false" outlineLevel="0" collapsed="false">
      <c r="G1305" s="25" t="n">
        <v>44423</v>
      </c>
      <c r="H1305" s="32" t="s">
        <v>15</v>
      </c>
      <c r="I1305" s="5" t="n">
        <v>-60</v>
      </c>
      <c r="J1305" s="54" t="s">
        <v>37</v>
      </c>
    </row>
    <row r="1306" customFormat="false" ht="12.8" hidden="false" customHeight="false" outlineLevel="0" collapsed="false">
      <c r="G1306" s="25" t="n">
        <v>44423</v>
      </c>
      <c r="H1306" s="32" t="s">
        <v>15</v>
      </c>
      <c r="I1306" s="5" t="n">
        <v>-9.64</v>
      </c>
      <c r="J1306" s="54" t="s">
        <v>37</v>
      </c>
    </row>
    <row r="1307" customFormat="false" ht="12.8" hidden="false" customHeight="false" outlineLevel="0" collapsed="false">
      <c r="G1307" s="25" t="n">
        <v>44424</v>
      </c>
      <c r="H1307" s="26" t="s">
        <v>10</v>
      </c>
      <c r="I1307" s="5" t="n">
        <v>-69.5</v>
      </c>
      <c r="J1307" s="54" t="s">
        <v>38</v>
      </c>
    </row>
    <row r="1308" customFormat="false" ht="12.8" hidden="false" customHeight="false" outlineLevel="0" collapsed="false">
      <c r="G1308" s="25" t="n">
        <v>44424</v>
      </c>
      <c r="H1308" s="32" t="s">
        <v>15</v>
      </c>
      <c r="I1308" s="5" t="n">
        <v>69.5</v>
      </c>
      <c r="J1308" s="54" t="s">
        <v>38</v>
      </c>
    </row>
    <row r="1309" customFormat="false" ht="12.8" hidden="false" customHeight="false" outlineLevel="0" collapsed="false">
      <c r="G1309" s="25" t="n">
        <v>44424</v>
      </c>
      <c r="H1309" s="32" t="s">
        <v>15</v>
      </c>
      <c r="I1309" s="5" t="n">
        <v>-60</v>
      </c>
      <c r="J1309" s="54" t="s">
        <v>37</v>
      </c>
    </row>
    <row r="1310" customFormat="false" ht="12.8" hidden="false" customHeight="false" outlineLevel="0" collapsed="false">
      <c r="G1310" s="25" t="n">
        <v>44424</v>
      </c>
      <c r="H1310" s="52" t="s">
        <v>14</v>
      </c>
      <c r="I1310" s="5" t="n">
        <v>-500</v>
      </c>
      <c r="J1310" s="10" t="s">
        <v>480</v>
      </c>
    </row>
    <row r="1311" customFormat="false" ht="12.8" hidden="false" customHeight="false" outlineLevel="0" collapsed="false">
      <c r="G1311" s="25" t="n">
        <v>44424</v>
      </c>
      <c r="H1311" s="48" t="s">
        <v>26</v>
      </c>
      <c r="I1311" s="5" t="n">
        <v>500</v>
      </c>
      <c r="J1311" s="10" t="s">
        <v>480</v>
      </c>
    </row>
    <row r="1312" customFormat="false" ht="12.8" hidden="false" customHeight="false" outlineLevel="0" collapsed="false">
      <c r="G1312" s="25" t="n">
        <v>44424</v>
      </c>
      <c r="H1312" s="48" t="s">
        <v>26</v>
      </c>
      <c r="I1312" s="5" t="n">
        <v>-500</v>
      </c>
      <c r="J1312" s="10" t="s">
        <v>146</v>
      </c>
    </row>
    <row r="1313" customFormat="false" ht="12.8" hidden="false" customHeight="false" outlineLevel="0" collapsed="false">
      <c r="G1313" s="25" t="n">
        <v>44424</v>
      </c>
      <c r="H1313" s="48" t="s">
        <v>26</v>
      </c>
      <c r="I1313" s="5" t="n">
        <v>-3</v>
      </c>
      <c r="J1313" s="10" t="s">
        <v>130</v>
      </c>
    </row>
    <row r="1314" customFormat="false" ht="12.8" hidden="false" customHeight="false" outlineLevel="0" collapsed="false">
      <c r="G1314" s="25" t="n">
        <v>44424</v>
      </c>
      <c r="H1314" s="32" t="s">
        <v>15</v>
      </c>
      <c r="I1314" s="5" t="n">
        <v>500</v>
      </c>
      <c r="J1314" s="10" t="s">
        <v>146</v>
      </c>
    </row>
    <row r="1315" customFormat="false" ht="12.8" hidden="false" customHeight="false" outlineLevel="0" collapsed="false">
      <c r="G1315" s="25" t="n">
        <v>44424</v>
      </c>
      <c r="H1315" s="32" t="s">
        <v>15</v>
      </c>
      <c r="I1315" s="5" t="n">
        <v>-500</v>
      </c>
      <c r="J1315" s="10" t="s">
        <v>462</v>
      </c>
    </row>
    <row r="1316" customFormat="false" ht="12.8" hidden="false" customHeight="false" outlineLevel="0" collapsed="false">
      <c r="G1316" s="25" t="n">
        <v>44424</v>
      </c>
      <c r="H1316" s="26" t="s">
        <v>10</v>
      </c>
      <c r="I1316" s="5" t="n">
        <v>500</v>
      </c>
      <c r="J1316" s="54" t="s">
        <v>462</v>
      </c>
    </row>
    <row r="1317" customFormat="false" ht="12.8" hidden="false" customHeight="false" outlineLevel="0" collapsed="false">
      <c r="G1317" s="25" t="n">
        <v>44424</v>
      </c>
      <c r="H1317" s="43" t="s">
        <v>23</v>
      </c>
      <c r="I1317" s="5" t="n">
        <v>-35</v>
      </c>
      <c r="J1317" s="10" t="s">
        <v>941</v>
      </c>
    </row>
    <row r="1318" customFormat="false" ht="12.8" hidden="false" customHeight="false" outlineLevel="0" collapsed="false">
      <c r="G1318" s="25" t="n">
        <v>44424</v>
      </c>
      <c r="H1318" s="32" t="s">
        <v>15</v>
      </c>
      <c r="I1318" s="5" t="n">
        <v>-7.97</v>
      </c>
      <c r="J1318" s="54" t="s">
        <v>37</v>
      </c>
    </row>
    <row r="1319" customFormat="false" ht="12.8" hidden="false" customHeight="false" outlineLevel="0" collapsed="false">
      <c r="G1319" s="25" t="n">
        <v>44425</v>
      </c>
      <c r="H1319" s="43" t="s">
        <v>23</v>
      </c>
      <c r="I1319" s="5" t="n">
        <v>-40</v>
      </c>
      <c r="J1319" s="10" t="s">
        <v>37</v>
      </c>
    </row>
    <row r="1320" customFormat="false" ht="12.8" hidden="false" customHeight="false" outlineLevel="0" collapsed="false">
      <c r="G1320" s="25" t="n">
        <v>44425</v>
      </c>
      <c r="H1320" s="26" t="s">
        <v>10</v>
      </c>
      <c r="I1320" s="5" t="n">
        <v>-68</v>
      </c>
      <c r="J1320" s="54" t="s">
        <v>38</v>
      </c>
    </row>
    <row r="1321" customFormat="false" ht="12.8" hidden="false" customHeight="false" outlineLevel="0" collapsed="false">
      <c r="G1321" s="25" t="n">
        <v>44425</v>
      </c>
      <c r="H1321" s="32" t="s">
        <v>15</v>
      </c>
      <c r="I1321" s="5" t="n">
        <v>68</v>
      </c>
      <c r="J1321" s="54" t="s">
        <v>38</v>
      </c>
    </row>
    <row r="1322" customFormat="false" ht="12.8" hidden="false" customHeight="false" outlineLevel="0" collapsed="false">
      <c r="G1322" s="25" t="n">
        <v>44425</v>
      </c>
      <c r="H1322" s="32" t="s">
        <v>15</v>
      </c>
      <c r="I1322" s="5" t="n">
        <v>-60</v>
      </c>
      <c r="J1322" s="54" t="s">
        <v>37</v>
      </c>
    </row>
    <row r="1323" customFormat="false" ht="12.8" hidden="false" customHeight="false" outlineLevel="0" collapsed="false">
      <c r="G1323" s="25" t="n">
        <v>44425</v>
      </c>
      <c r="H1323" s="32" t="s">
        <v>15</v>
      </c>
      <c r="I1323" s="5" t="n">
        <v>-5.99</v>
      </c>
      <c r="J1323" s="10" t="s">
        <v>37</v>
      </c>
    </row>
    <row r="1324" customFormat="false" ht="12.8" hidden="false" customHeight="false" outlineLevel="0" collapsed="false">
      <c r="G1324" s="25" t="n">
        <v>44425</v>
      </c>
      <c r="H1324" s="26" t="s">
        <v>10</v>
      </c>
      <c r="I1324" s="5" t="n">
        <v>-150</v>
      </c>
      <c r="J1324" s="54" t="s">
        <v>38</v>
      </c>
    </row>
    <row r="1325" customFormat="false" ht="12.8" hidden="false" customHeight="false" outlineLevel="0" collapsed="false">
      <c r="G1325" s="25" t="n">
        <v>44425</v>
      </c>
      <c r="H1325" s="32" t="s">
        <v>15</v>
      </c>
      <c r="I1325" s="5" t="n">
        <v>150</v>
      </c>
      <c r="J1325" s="54" t="s">
        <v>38</v>
      </c>
    </row>
    <row r="1326" customFormat="false" ht="12.8" hidden="false" customHeight="false" outlineLevel="0" collapsed="false">
      <c r="G1326" s="25" t="n">
        <v>44425</v>
      </c>
      <c r="H1326" s="32" t="s">
        <v>15</v>
      </c>
      <c r="I1326" s="5" t="n">
        <v>-150</v>
      </c>
      <c r="J1326" s="54" t="s">
        <v>868</v>
      </c>
    </row>
    <row r="1327" customFormat="false" ht="12.8" hidden="false" customHeight="false" outlineLevel="0" collapsed="false">
      <c r="G1327" s="25" t="n">
        <v>44426</v>
      </c>
      <c r="H1327" s="26" t="s">
        <v>10</v>
      </c>
      <c r="I1327" s="5" t="n">
        <v>-66</v>
      </c>
      <c r="J1327" s="54" t="s">
        <v>38</v>
      </c>
    </row>
    <row r="1328" customFormat="false" ht="12.8" hidden="false" customHeight="false" outlineLevel="0" collapsed="false">
      <c r="G1328" s="25" t="n">
        <v>44426</v>
      </c>
      <c r="H1328" s="32" t="s">
        <v>15</v>
      </c>
      <c r="I1328" s="5" t="n">
        <v>66</v>
      </c>
      <c r="J1328" s="54" t="s">
        <v>38</v>
      </c>
    </row>
    <row r="1329" customFormat="false" ht="12.8" hidden="false" customHeight="false" outlineLevel="0" collapsed="false">
      <c r="G1329" s="25" t="n">
        <v>44426</v>
      </c>
      <c r="H1329" s="32" t="s">
        <v>15</v>
      </c>
      <c r="I1329" s="5" t="n">
        <v>-60</v>
      </c>
      <c r="J1329" s="54" t="s">
        <v>37</v>
      </c>
    </row>
    <row r="1330" customFormat="false" ht="12.8" hidden="false" customHeight="false" outlineLevel="0" collapsed="false">
      <c r="G1330" s="25" t="n">
        <v>44426</v>
      </c>
      <c r="H1330" s="32" t="s">
        <v>15</v>
      </c>
      <c r="I1330" s="5" t="n">
        <v>-9.62</v>
      </c>
      <c r="J1330" s="54" t="s">
        <v>37</v>
      </c>
    </row>
    <row r="1331" customFormat="false" ht="12.8" hidden="false" customHeight="false" outlineLevel="0" collapsed="false">
      <c r="G1331" s="25" t="n">
        <v>44427</v>
      </c>
      <c r="H1331" s="26" t="s">
        <v>10</v>
      </c>
      <c r="I1331" s="5" t="n">
        <v>-70</v>
      </c>
      <c r="J1331" s="54" t="s">
        <v>38</v>
      </c>
    </row>
    <row r="1332" customFormat="false" ht="12.8" hidden="false" customHeight="false" outlineLevel="0" collapsed="false">
      <c r="G1332" s="25" t="n">
        <v>44427</v>
      </c>
      <c r="H1332" s="32" t="s">
        <v>15</v>
      </c>
      <c r="I1332" s="5" t="n">
        <v>70</v>
      </c>
      <c r="J1332" s="54" t="s">
        <v>38</v>
      </c>
    </row>
    <row r="1333" customFormat="false" ht="12.8" hidden="false" customHeight="false" outlineLevel="0" collapsed="false">
      <c r="G1333" s="25" t="n">
        <v>44427</v>
      </c>
      <c r="H1333" s="32" t="s">
        <v>15</v>
      </c>
      <c r="I1333" s="5" t="n">
        <v>-60</v>
      </c>
      <c r="J1333" s="54" t="s">
        <v>37</v>
      </c>
    </row>
    <row r="1334" customFormat="false" ht="12.8" hidden="false" customHeight="false" outlineLevel="0" collapsed="false">
      <c r="G1334" s="25" t="n">
        <v>44427</v>
      </c>
      <c r="H1334" s="32" t="s">
        <v>15</v>
      </c>
      <c r="I1334" s="5" t="n">
        <v>-7.49</v>
      </c>
      <c r="J1334" s="54" t="s">
        <v>37</v>
      </c>
    </row>
    <row r="1335" customFormat="false" ht="12.8" hidden="false" customHeight="false" outlineLevel="0" collapsed="false">
      <c r="G1335" s="25" t="n">
        <v>44427</v>
      </c>
      <c r="H1335" s="43" t="s">
        <v>23</v>
      </c>
      <c r="I1335" s="5" t="n">
        <v>-324.85</v>
      </c>
      <c r="J1335" s="10" t="s">
        <v>843</v>
      </c>
    </row>
    <row r="1336" customFormat="false" ht="12.8" hidden="false" customHeight="false" outlineLevel="0" collapsed="false">
      <c r="G1336" s="25" t="n">
        <v>44428</v>
      </c>
      <c r="H1336" s="26" t="s">
        <v>10</v>
      </c>
      <c r="I1336" s="5" t="n">
        <v>-67</v>
      </c>
      <c r="J1336" s="54" t="s">
        <v>38</v>
      </c>
    </row>
    <row r="1337" customFormat="false" ht="12.8" hidden="false" customHeight="false" outlineLevel="0" collapsed="false">
      <c r="G1337" s="25" t="n">
        <v>44428</v>
      </c>
      <c r="H1337" s="32" t="s">
        <v>15</v>
      </c>
      <c r="I1337" s="5" t="n">
        <v>67</v>
      </c>
      <c r="J1337" s="54" t="s">
        <v>38</v>
      </c>
    </row>
    <row r="1338" customFormat="false" ht="12.8" hidden="false" customHeight="false" outlineLevel="0" collapsed="false">
      <c r="G1338" s="25" t="n">
        <v>44428</v>
      </c>
      <c r="H1338" s="32" t="s">
        <v>15</v>
      </c>
      <c r="I1338" s="5" t="n">
        <v>-60</v>
      </c>
      <c r="J1338" s="54" t="s">
        <v>37</v>
      </c>
    </row>
    <row r="1339" customFormat="false" ht="12.8" hidden="false" customHeight="false" outlineLevel="0" collapsed="false">
      <c r="G1339" s="25" t="n">
        <v>44428</v>
      </c>
      <c r="H1339" s="32" t="s">
        <v>15</v>
      </c>
      <c r="I1339" s="5" t="n">
        <v>-7.23</v>
      </c>
      <c r="J1339" s="54" t="s">
        <v>37</v>
      </c>
    </row>
    <row r="1340" customFormat="false" ht="12.8" hidden="false" customHeight="false" outlineLevel="0" collapsed="false">
      <c r="G1340" s="25" t="n">
        <v>44427</v>
      </c>
      <c r="H1340" s="43" t="s">
        <v>23</v>
      </c>
      <c r="I1340" s="5" t="n">
        <v>-31.95</v>
      </c>
      <c r="J1340" s="10" t="s">
        <v>841</v>
      </c>
    </row>
    <row r="1341" customFormat="false" ht="12.8" hidden="false" customHeight="false" outlineLevel="0" collapsed="false">
      <c r="G1341" s="25" t="n">
        <v>44429</v>
      </c>
      <c r="H1341" s="26" t="s">
        <v>10</v>
      </c>
      <c r="I1341" s="5" t="n">
        <v>-67.15</v>
      </c>
      <c r="J1341" s="54" t="s">
        <v>38</v>
      </c>
    </row>
    <row r="1342" customFormat="false" ht="12.8" hidden="false" customHeight="false" outlineLevel="0" collapsed="false">
      <c r="G1342" s="25" t="n">
        <v>44429</v>
      </c>
      <c r="H1342" s="32" t="s">
        <v>15</v>
      </c>
      <c r="I1342" s="5" t="n">
        <v>67.15</v>
      </c>
      <c r="J1342" s="54" t="s">
        <v>38</v>
      </c>
    </row>
    <row r="1343" customFormat="false" ht="12.8" hidden="false" customHeight="false" outlineLevel="0" collapsed="false">
      <c r="G1343" s="25" t="n">
        <v>44429</v>
      </c>
      <c r="H1343" s="32" t="s">
        <v>15</v>
      </c>
      <c r="I1343" s="5" t="n">
        <v>-60</v>
      </c>
      <c r="J1343" s="54" t="s">
        <v>37</v>
      </c>
    </row>
    <row r="1344" customFormat="false" ht="12.8" hidden="false" customHeight="false" outlineLevel="0" collapsed="false">
      <c r="G1344" s="25" t="n">
        <v>44429</v>
      </c>
      <c r="H1344" s="32" t="s">
        <v>15</v>
      </c>
      <c r="I1344" s="5" t="n">
        <v>-5.98</v>
      </c>
      <c r="J1344" s="54" t="s">
        <v>37</v>
      </c>
    </row>
    <row r="1345" customFormat="false" ht="12.8" hidden="false" customHeight="false" outlineLevel="0" collapsed="false">
      <c r="G1345" s="25" t="n">
        <v>44429</v>
      </c>
      <c r="H1345" s="43" t="s">
        <v>23</v>
      </c>
      <c r="I1345" s="5" t="n">
        <v>-93.58</v>
      </c>
      <c r="J1345" s="10" t="s">
        <v>53</v>
      </c>
    </row>
    <row r="1346" customFormat="false" ht="12.8" hidden="false" customHeight="false" outlineLevel="0" collapsed="false">
      <c r="G1346" s="25" t="n">
        <v>44430</v>
      </c>
      <c r="H1346" s="43" t="s">
        <v>23</v>
      </c>
      <c r="I1346" s="5" t="n">
        <v>-60</v>
      </c>
      <c r="J1346" s="10" t="s">
        <v>37</v>
      </c>
    </row>
    <row r="1347" customFormat="false" ht="12.8" hidden="false" customHeight="false" outlineLevel="0" collapsed="false">
      <c r="G1347" s="25" t="n">
        <v>44430</v>
      </c>
      <c r="H1347" s="43" t="s">
        <v>23</v>
      </c>
      <c r="I1347" s="5" t="n">
        <v>-9.85</v>
      </c>
      <c r="J1347" s="10" t="s">
        <v>37</v>
      </c>
    </row>
    <row r="1348" customFormat="false" ht="12.8" hidden="false" customHeight="false" outlineLevel="0" collapsed="false">
      <c r="G1348" s="25" t="n">
        <v>44430</v>
      </c>
      <c r="H1348" s="43" t="s">
        <v>23</v>
      </c>
      <c r="I1348" s="5" t="n">
        <v>-22.99</v>
      </c>
      <c r="J1348" s="10" t="s">
        <v>37</v>
      </c>
    </row>
    <row r="1349" customFormat="false" ht="12.8" hidden="false" customHeight="false" outlineLevel="0" collapsed="false">
      <c r="G1349" s="25" t="n">
        <v>44431</v>
      </c>
      <c r="H1349" s="43" t="s">
        <v>23</v>
      </c>
      <c r="I1349" s="5" t="n">
        <v>-60</v>
      </c>
      <c r="J1349" s="10" t="s">
        <v>37</v>
      </c>
    </row>
    <row r="1350" customFormat="false" ht="12.8" hidden="false" customHeight="false" outlineLevel="0" collapsed="false">
      <c r="G1350" s="25" t="n">
        <v>44432</v>
      </c>
      <c r="H1350" s="43" t="s">
        <v>23</v>
      </c>
      <c r="I1350" s="5" t="n">
        <v>-17.89</v>
      </c>
      <c r="J1350" s="10" t="s">
        <v>37</v>
      </c>
    </row>
    <row r="1351" customFormat="false" ht="12.8" hidden="false" customHeight="false" outlineLevel="0" collapsed="false">
      <c r="G1351" s="25" t="n">
        <v>44432</v>
      </c>
      <c r="H1351" s="43" t="s">
        <v>23</v>
      </c>
      <c r="I1351" s="5" t="n">
        <v>-4.94</v>
      </c>
      <c r="J1351" s="10" t="s">
        <v>37</v>
      </c>
    </row>
    <row r="1352" customFormat="false" ht="12.8" hidden="false" customHeight="false" outlineLevel="0" collapsed="false">
      <c r="G1352" s="25" t="n">
        <v>44432</v>
      </c>
      <c r="H1352" s="43" t="s">
        <v>23</v>
      </c>
      <c r="I1352" s="5" t="n">
        <v>-12.36</v>
      </c>
      <c r="J1352" s="10" t="s">
        <v>37</v>
      </c>
    </row>
    <row r="1353" customFormat="false" ht="12.8" hidden="false" customHeight="false" outlineLevel="0" collapsed="false">
      <c r="G1353" s="25" t="n">
        <v>44432</v>
      </c>
      <c r="H1353" s="26" t="s">
        <v>10</v>
      </c>
      <c r="I1353" s="5" t="n">
        <v>-416</v>
      </c>
      <c r="J1353" s="10" t="s">
        <v>942</v>
      </c>
    </row>
    <row r="1354" customFormat="false" ht="12.8" hidden="false" customHeight="false" outlineLevel="0" collapsed="false">
      <c r="G1354" s="25" t="n">
        <v>44432</v>
      </c>
      <c r="H1354" s="32" t="s">
        <v>15</v>
      </c>
      <c r="I1354" s="5" t="n">
        <v>416</v>
      </c>
      <c r="J1354" s="10" t="s">
        <v>942</v>
      </c>
    </row>
    <row r="1355" customFormat="false" ht="12.8" hidden="false" customHeight="false" outlineLevel="0" collapsed="false">
      <c r="G1355" s="25" t="n">
        <v>44432</v>
      </c>
      <c r="H1355" s="32" t="s">
        <v>15</v>
      </c>
      <c r="I1355" s="5" t="n">
        <v>-60</v>
      </c>
      <c r="J1355" s="10" t="s">
        <v>37</v>
      </c>
    </row>
    <row r="1356" customFormat="false" ht="12.8" hidden="false" customHeight="false" outlineLevel="0" collapsed="false">
      <c r="G1356" s="25" t="n">
        <v>44432</v>
      </c>
      <c r="H1356" s="32" t="s">
        <v>15</v>
      </c>
      <c r="I1356" s="5" t="n">
        <v>-150</v>
      </c>
      <c r="J1356" s="10" t="s">
        <v>868</v>
      </c>
    </row>
    <row r="1357" customFormat="false" ht="12.8" hidden="false" customHeight="false" outlineLevel="0" collapsed="false">
      <c r="G1357" s="25" t="n">
        <v>44432</v>
      </c>
      <c r="H1357" s="32" t="s">
        <v>15</v>
      </c>
      <c r="I1357" s="5" t="n">
        <v>-200</v>
      </c>
      <c r="J1357" s="10" t="s">
        <v>861</v>
      </c>
    </row>
    <row r="1358" customFormat="false" ht="12.8" hidden="false" customHeight="false" outlineLevel="0" collapsed="false">
      <c r="G1358" s="25" t="n">
        <v>44432</v>
      </c>
      <c r="H1358" s="32" t="s">
        <v>15</v>
      </c>
      <c r="I1358" s="5" t="n">
        <v>-8.77</v>
      </c>
      <c r="J1358" s="10" t="s">
        <v>37</v>
      </c>
      <c r="K1358" s="54"/>
    </row>
    <row r="1359" customFormat="false" ht="12.8" hidden="false" customHeight="false" outlineLevel="0" collapsed="false">
      <c r="G1359" s="25" t="n">
        <v>44433</v>
      </c>
      <c r="H1359" s="52" t="s">
        <v>14</v>
      </c>
      <c r="I1359" s="5" t="n">
        <v>2.81</v>
      </c>
      <c r="J1359" s="10" t="s">
        <v>40</v>
      </c>
      <c r="K1359" s="10"/>
    </row>
    <row r="1360" customFormat="false" ht="12.8" hidden="false" customHeight="false" outlineLevel="0" collapsed="false">
      <c r="G1360" s="25" t="n">
        <v>44433</v>
      </c>
      <c r="H1360" s="26" t="s">
        <v>10</v>
      </c>
      <c r="I1360" s="5" t="n">
        <v>-68.75</v>
      </c>
      <c r="J1360" s="54" t="s">
        <v>38</v>
      </c>
    </row>
    <row r="1361" customFormat="false" ht="12.8" hidden="false" customHeight="false" outlineLevel="0" collapsed="false">
      <c r="G1361" s="25" t="n">
        <v>44433</v>
      </c>
      <c r="H1361" s="32" t="s">
        <v>15</v>
      </c>
      <c r="I1361" s="5" t="n">
        <v>68.75</v>
      </c>
      <c r="J1361" s="54" t="s">
        <v>38</v>
      </c>
    </row>
    <row r="1362" customFormat="false" ht="12.8" hidden="false" customHeight="false" outlineLevel="0" collapsed="false">
      <c r="G1362" s="25" t="n">
        <v>44433</v>
      </c>
      <c r="H1362" s="32" t="s">
        <v>15</v>
      </c>
      <c r="I1362" s="5" t="n">
        <v>-60</v>
      </c>
      <c r="J1362" s="54" t="s">
        <v>37</v>
      </c>
    </row>
    <row r="1363" customFormat="false" ht="12.8" hidden="false" customHeight="false" outlineLevel="0" collapsed="false">
      <c r="G1363" s="25" t="n">
        <v>44433</v>
      </c>
      <c r="H1363" s="32" t="s">
        <v>15</v>
      </c>
      <c r="I1363" s="5" t="n">
        <v>-8.36</v>
      </c>
      <c r="J1363" s="54" t="s">
        <v>37</v>
      </c>
    </row>
    <row r="1364" customFormat="false" ht="12.8" hidden="false" customHeight="false" outlineLevel="0" collapsed="false">
      <c r="G1364" s="25" t="n">
        <v>44434</v>
      </c>
      <c r="H1364" s="26" t="s">
        <v>10</v>
      </c>
      <c r="I1364" s="5" t="n">
        <v>-70</v>
      </c>
      <c r="J1364" s="54" t="s">
        <v>38</v>
      </c>
    </row>
    <row r="1365" customFormat="false" ht="12.8" hidden="false" customHeight="false" outlineLevel="0" collapsed="false">
      <c r="G1365" s="25" t="n">
        <v>44434</v>
      </c>
      <c r="H1365" s="32" t="s">
        <v>15</v>
      </c>
      <c r="I1365" s="5" t="n">
        <v>70</v>
      </c>
      <c r="J1365" s="54" t="s">
        <v>38</v>
      </c>
    </row>
    <row r="1366" customFormat="false" ht="12.8" hidden="false" customHeight="false" outlineLevel="0" collapsed="false">
      <c r="G1366" s="25" t="n">
        <v>44434</v>
      </c>
      <c r="H1366" s="32" t="s">
        <v>15</v>
      </c>
      <c r="I1366" s="5" t="n">
        <v>-60</v>
      </c>
      <c r="J1366" s="54" t="s">
        <v>37</v>
      </c>
    </row>
    <row r="1367" customFormat="false" ht="12.8" hidden="false" customHeight="false" outlineLevel="0" collapsed="false">
      <c r="G1367" s="25" t="n">
        <v>44434</v>
      </c>
      <c r="H1367" s="32" t="s">
        <v>15</v>
      </c>
      <c r="I1367" s="5" t="n">
        <v>-7.68</v>
      </c>
      <c r="J1367" s="54" t="s">
        <v>37</v>
      </c>
    </row>
    <row r="1368" customFormat="false" ht="12.8" hidden="false" customHeight="false" outlineLevel="0" collapsed="false">
      <c r="G1368" s="25" t="n">
        <v>44435</v>
      </c>
      <c r="H1368" s="26" t="s">
        <v>10</v>
      </c>
      <c r="I1368" s="5" t="n">
        <v>-47</v>
      </c>
      <c r="J1368" s="54" t="s">
        <v>38</v>
      </c>
    </row>
    <row r="1369" customFormat="false" ht="12.8" hidden="false" customHeight="false" outlineLevel="0" collapsed="false">
      <c r="G1369" s="25" t="n">
        <v>44435</v>
      </c>
      <c r="H1369" s="32" t="s">
        <v>15</v>
      </c>
      <c r="I1369" s="5" t="n">
        <v>47</v>
      </c>
      <c r="J1369" s="54" t="s">
        <v>38</v>
      </c>
    </row>
    <row r="1370" customFormat="false" ht="12.8" hidden="false" customHeight="false" outlineLevel="0" collapsed="false">
      <c r="G1370" s="25" t="n">
        <v>44435</v>
      </c>
      <c r="H1370" s="32" t="s">
        <v>15</v>
      </c>
      <c r="I1370" s="5" t="n">
        <v>-40</v>
      </c>
      <c r="J1370" s="54" t="s">
        <v>37</v>
      </c>
    </row>
    <row r="1371" customFormat="false" ht="12.8" hidden="false" customHeight="false" outlineLevel="0" collapsed="false">
      <c r="G1371" s="25" t="n">
        <v>44435</v>
      </c>
      <c r="H1371" s="52" t="s">
        <v>14</v>
      </c>
      <c r="I1371" s="5" t="n">
        <v>-15</v>
      </c>
      <c r="J1371" s="10" t="s">
        <v>480</v>
      </c>
      <c r="K1371" s="10"/>
    </row>
    <row r="1372" customFormat="false" ht="12.8" hidden="false" customHeight="false" outlineLevel="0" collapsed="false">
      <c r="G1372" s="25" t="n">
        <v>44435</v>
      </c>
      <c r="H1372" s="48" t="s">
        <v>26</v>
      </c>
      <c r="I1372" s="5" t="n">
        <v>15</v>
      </c>
      <c r="J1372" s="10" t="s">
        <v>480</v>
      </c>
      <c r="K1372" s="10"/>
      <c r="L1372" s="10"/>
    </row>
    <row r="1373" customFormat="false" ht="12.8" hidden="false" customHeight="false" outlineLevel="0" collapsed="false">
      <c r="G1373" s="25" t="n">
        <v>44435</v>
      </c>
      <c r="H1373" s="32" t="s">
        <v>15</v>
      </c>
      <c r="I1373" s="5" t="n">
        <v>-4.9</v>
      </c>
      <c r="J1373" s="54" t="s">
        <v>37</v>
      </c>
      <c r="K1373" s="10"/>
      <c r="L1373" s="10"/>
      <c r="M1373" s="0"/>
    </row>
    <row r="1374" customFormat="false" ht="12.8" hidden="false" customHeight="false" outlineLevel="0" collapsed="false">
      <c r="G1374" s="25" t="n">
        <v>44435</v>
      </c>
      <c r="H1374" s="26" t="s">
        <v>10</v>
      </c>
      <c r="I1374" s="5" t="n">
        <v>-50</v>
      </c>
      <c r="J1374" s="54" t="s">
        <v>38</v>
      </c>
      <c r="K1374" s="10"/>
      <c r="L1374" s="10"/>
      <c r="M1374" s="0"/>
    </row>
    <row r="1375" customFormat="false" ht="12.8" hidden="false" customHeight="false" outlineLevel="0" collapsed="false">
      <c r="G1375" s="25" t="n">
        <v>44435</v>
      </c>
      <c r="H1375" s="32" t="s">
        <v>15</v>
      </c>
      <c r="I1375" s="5" t="n">
        <v>50</v>
      </c>
      <c r="J1375" s="54" t="s">
        <v>38</v>
      </c>
      <c r="K1375" s="10"/>
      <c r="M1375" s="0"/>
    </row>
    <row r="1376" customFormat="false" ht="12.8" hidden="false" customHeight="false" outlineLevel="0" collapsed="false">
      <c r="G1376" s="25" t="n">
        <v>44435</v>
      </c>
      <c r="H1376" s="32" t="s">
        <v>15</v>
      </c>
      <c r="I1376" s="5" t="n">
        <v>-50</v>
      </c>
      <c r="J1376" s="54" t="s">
        <v>868</v>
      </c>
      <c r="K1376" s="10"/>
    </row>
    <row r="1377" customFormat="false" ht="12.8" hidden="false" customHeight="false" outlineLevel="0" collapsed="false">
      <c r="G1377" s="25" t="n">
        <v>44436</v>
      </c>
      <c r="H1377" s="26" t="s">
        <v>10</v>
      </c>
      <c r="I1377" s="5" t="n">
        <v>-64</v>
      </c>
      <c r="J1377" s="54" t="s">
        <v>38</v>
      </c>
      <c r="K1377" s="10"/>
    </row>
    <row r="1378" customFormat="false" ht="12.8" hidden="false" customHeight="false" outlineLevel="0" collapsed="false">
      <c r="G1378" s="25" t="n">
        <v>44436</v>
      </c>
      <c r="H1378" s="32" t="s">
        <v>15</v>
      </c>
      <c r="I1378" s="5" t="n">
        <v>64</v>
      </c>
      <c r="J1378" s="54" t="s">
        <v>38</v>
      </c>
      <c r="K1378" s="10"/>
    </row>
    <row r="1379" customFormat="false" ht="12.8" hidden="false" customHeight="false" outlineLevel="0" collapsed="false">
      <c r="G1379" s="25" t="n">
        <v>44436</v>
      </c>
      <c r="H1379" s="32" t="s">
        <v>15</v>
      </c>
      <c r="I1379" s="5" t="n">
        <v>-60</v>
      </c>
      <c r="J1379" s="54" t="s">
        <v>37</v>
      </c>
      <c r="K1379" s="10"/>
    </row>
    <row r="1380" customFormat="false" ht="12.8" hidden="false" customHeight="false" outlineLevel="0" collapsed="false">
      <c r="G1380" s="25" t="n">
        <v>44436</v>
      </c>
      <c r="H1380" s="32" t="s">
        <v>15</v>
      </c>
      <c r="I1380" s="5" t="n">
        <v>-9.35</v>
      </c>
      <c r="J1380" s="54" t="s">
        <v>37</v>
      </c>
      <c r="K1380" s="10"/>
    </row>
    <row r="1381" customFormat="false" ht="12.8" hidden="false" customHeight="false" outlineLevel="0" collapsed="false">
      <c r="G1381" s="25" t="n">
        <v>44437</v>
      </c>
      <c r="H1381" s="52" t="s">
        <v>14</v>
      </c>
      <c r="I1381" s="5" t="n">
        <v>-505</v>
      </c>
      <c r="J1381" s="10" t="s">
        <v>480</v>
      </c>
      <c r="K1381" s="10"/>
    </row>
    <row r="1382" customFormat="false" ht="12.8" hidden="false" customHeight="false" outlineLevel="0" collapsed="false">
      <c r="G1382" s="25" t="n">
        <v>44437</v>
      </c>
      <c r="H1382" s="48" t="s">
        <v>26</v>
      </c>
      <c r="I1382" s="5" t="n">
        <v>505</v>
      </c>
      <c r="J1382" s="10" t="s">
        <v>480</v>
      </c>
      <c r="K1382" s="10"/>
    </row>
    <row r="1383" customFormat="false" ht="12.8" hidden="false" customHeight="false" outlineLevel="0" collapsed="false">
      <c r="G1383" s="25" t="n">
        <v>44437</v>
      </c>
      <c r="H1383" s="48" t="s">
        <v>26</v>
      </c>
      <c r="I1383" s="5" t="n">
        <v>-500</v>
      </c>
      <c r="J1383" s="10" t="s">
        <v>146</v>
      </c>
      <c r="K1383" s="10"/>
    </row>
    <row r="1384" customFormat="false" ht="12.8" hidden="false" customHeight="false" outlineLevel="0" collapsed="false">
      <c r="G1384" s="25" t="n">
        <v>44437</v>
      </c>
      <c r="H1384" s="48" t="s">
        <v>26</v>
      </c>
      <c r="I1384" s="5" t="n">
        <v>-3</v>
      </c>
      <c r="J1384" s="10" t="s">
        <v>130</v>
      </c>
      <c r="K1384" s="10"/>
    </row>
    <row r="1385" customFormat="false" ht="12.8" hidden="false" customHeight="false" outlineLevel="0" collapsed="false">
      <c r="G1385" s="25" t="n">
        <v>44437</v>
      </c>
      <c r="H1385" s="32" t="s">
        <v>15</v>
      </c>
      <c r="I1385" s="5" t="n">
        <v>500</v>
      </c>
      <c r="J1385" s="10" t="s">
        <v>146</v>
      </c>
      <c r="K1385" s="10"/>
    </row>
    <row r="1386" customFormat="false" ht="12.8" hidden="false" customHeight="false" outlineLevel="0" collapsed="false">
      <c r="G1386" s="25" t="n">
        <v>44437</v>
      </c>
      <c r="H1386" s="26" t="s">
        <v>10</v>
      </c>
      <c r="I1386" s="5" t="n">
        <v>-72</v>
      </c>
      <c r="J1386" s="54" t="s">
        <v>38</v>
      </c>
      <c r="K1386" s="10"/>
    </row>
    <row r="1387" customFormat="false" ht="12.8" hidden="false" customHeight="false" outlineLevel="0" collapsed="false">
      <c r="G1387" s="25" t="n">
        <v>44437</v>
      </c>
      <c r="H1387" s="32" t="s">
        <v>15</v>
      </c>
      <c r="I1387" s="5" t="n">
        <v>72</v>
      </c>
      <c r="J1387" s="54" t="s">
        <v>38</v>
      </c>
      <c r="K1387" s="10"/>
    </row>
    <row r="1388" customFormat="false" ht="12.8" hidden="false" customHeight="false" outlineLevel="0" collapsed="false">
      <c r="G1388" s="25" t="n">
        <v>44437</v>
      </c>
      <c r="H1388" s="32" t="s">
        <v>15</v>
      </c>
      <c r="I1388" s="5" t="n">
        <v>-52.12</v>
      </c>
      <c r="J1388" s="54" t="s">
        <v>37</v>
      </c>
      <c r="K1388" s="10"/>
    </row>
    <row r="1389" customFormat="false" ht="12.8" hidden="false" customHeight="false" outlineLevel="0" collapsed="false">
      <c r="G1389" s="25" t="n">
        <v>44437</v>
      </c>
      <c r="H1389" s="32" t="s">
        <v>15</v>
      </c>
      <c r="I1389" s="5" t="n">
        <v>-20</v>
      </c>
      <c r="J1389" s="54" t="s">
        <v>37</v>
      </c>
      <c r="K1389" s="10"/>
    </row>
    <row r="1390" customFormat="false" ht="12.8" hidden="false" customHeight="false" outlineLevel="0" collapsed="false">
      <c r="G1390" s="25" t="n">
        <v>44438</v>
      </c>
      <c r="H1390" s="26" t="s">
        <v>10</v>
      </c>
      <c r="I1390" s="5" t="n">
        <v>-70</v>
      </c>
      <c r="J1390" s="54" t="s">
        <v>38</v>
      </c>
      <c r="K1390" s="10"/>
    </row>
    <row r="1391" customFormat="false" ht="12.8" hidden="false" customHeight="false" outlineLevel="0" collapsed="false">
      <c r="G1391" s="25" t="n">
        <v>44438</v>
      </c>
      <c r="H1391" s="32" t="s">
        <v>15</v>
      </c>
      <c r="I1391" s="5" t="n">
        <v>70</v>
      </c>
      <c r="J1391" s="54" t="s">
        <v>38</v>
      </c>
      <c r="K1391" s="54"/>
    </row>
    <row r="1392" customFormat="false" ht="12.8" hidden="false" customHeight="false" outlineLevel="0" collapsed="false">
      <c r="G1392" s="25" t="n">
        <v>44438</v>
      </c>
      <c r="H1392" s="32" t="s">
        <v>15</v>
      </c>
      <c r="I1392" s="5" t="n">
        <v>-60</v>
      </c>
      <c r="J1392" s="54" t="s">
        <v>37</v>
      </c>
      <c r="K1392" s="54"/>
    </row>
    <row r="1393" customFormat="false" ht="12.8" hidden="false" customHeight="false" outlineLevel="0" collapsed="false">
      <c r="G1393" s="25" t="n">
        <v>44438</v>
      </c>
      <c r="H1393" s="32" t="s">
        <v>15</v>
      </c>
      <c r="I1393" s="5" t="n">
        <v>-500</v>
      </c>
      <c r="J1393" s="10" t="s">
        <v>943</v>
      </c>
      <c r="K1393" s="54"/>
    </row>
    <row r="1394" customFormat="false" ht="12.8" hidden="false" customHeight="false" outlineLevel="0" collapsed="false">
      <c r="G1394" s="25" t="n">
        <v>44438</v>
      </c>
      <c r="H1394" s="26" t="s">
        <v>10</v>
      </c>
      <c r="I1394" s="5" t="n">
        <v>500</v>
      </c>
      <c r="J1394" s="10" t="s">
        <v>104</v>
      </c>
      <c r="K1394" s="54"/>
    </row>
    <row r="1395" customFormat="false" ht="12.8" hidden="false" customHeight="false" outlineLevel="0" collapsed="false">
      <c r="G1395" s="25" t="n">
        <v>44438</v>
      </c>
      <c r="H1395" s="32" t="s">
        <v>15</v>
      </c>
      <c r="I1395" s="5" t="n">
        <v>-9.02</v>
      </c>
      <c r="J1395" s="54" t="s">
        <v>37</v>
      </c>
      <c r="K1395" s="54"/>
    </row>
    <row r="1396" customFormat="false" ht="12.8" hidden="false" customHeight="false" outlineLevel="0" collapsed="false">
      <c r="G1396" s="25" t="n">
        <v>44439</v>
      </c>
      <c r="H1396" s="26" t="s">
        <v>10</v>
      </c>
      <c r="I1396" s="5" t="n">
        <v>-69</v>
      </c>
      <c r="J1396" s="54" t="s">
        <v>38</v>
      </c>
      <c r="K1396" s="10"/>
    </row>
    <row r="1397" customFormat="false" ht="12.8" hidden="false" customHeight="false" outlineLevel="0" collapsed="false">
      <c r="G1397" s="25" t="n">
        <v>44439</v>
      </c>
      <c r="H1397" s="32" t="s">
        <v>15</v>
      </c>
      <c r="I1397" s="5" t="n">
        <v>69</v>
      </c>
      <c r="J1397" s="54" t="s">
        <v>38</v>
      </c>
      <c r="K1397" s="10"/>
    </row>
    <row r="1398" customFormat="false" ht="12.8" hidden="false" customHeight="false" outlineLevel="0" collapsed="false">
      <c r="G1398" s="25" t="n">
        <v>44439</v>
      </c>
      <c r="H1398" s="32" t="s">
        <v>15</v>
      </c>
      <c r="I1398" s="5" t="n">
        <v>-60</v>
      </c>
      <c r="J1398" s="54" t="s">
        <v>37</v>
      </c>
    </row>
    <row r="1399" customFormat="false" ht="12.8" hidden="false" customHeight="false" outlineLevel="0" collapsed="false">
      <c r="G1399" s="25" t="n">
        <v>44439</v>
      </c>
      <c r="H1399" s="32" t="s">
        <v>15</v>
      </c>
      <c r="I1399" s="5" t="n">
        <v>-6.48</v>
      </c>
      <c r="J1399" s="54" t="s">
        <v>37</v>
      </c>
    </row>
    <row r="1400" customFormat="false" ht="12.8" hidden="false" customHeight="false" outlineLevel="0" collapsed="false">
      <c r="G1400" s="25" t="n">
        <v>44439</v>
      </c>
      <c r="H1400" s="43" t="s">
        <v>23</v>
      </c>
      <c r="I1400" s="5" t="n">
        <v>240</v>
      </c>
      <c r="J1400" s="10" t="s">
        <v>944</v>
      </c>
    </row>
    <row r="1401" customFormat="false" ht="12.8" hidden="false" customHeight="false" outlineLevel="0" collapsed="false">
      <c r="G1401" s="25" t="n">
        <v>44440</v>
      </c>
      <c r="H1401" s="43" t="s">
        <v>23</v>
      </c>
      <c r="I1401" s="5" t="n">
        <v>-60</v>
      </c>
      <c r="J1401" s="10" t="s">
        <v>37</v>
      </c>
      <c r="K1401" s="10"/>
    </row>
    <row r="1402" customFormat="false" ht="12.8" hidden="false" customHeight="false" outlineLevel="0" collapsed="false">
      <c r="G1402" s="25" t="n">
        <v>44440</v>
      </c>
      <c r="H1402" s="43" t="s">
        <v>23</v>
      </c>
      <c r="I1402" s="5" t="n">
        <v>-10.97</v>
      </c>
      <c r="J1402" s="10" t="s">
        <v>37</v>
      </c>
      <c r="K1402" s="10"/>
    </row>
    <row r="1403" customFormat="false" ht="12.8" hidden="false" customHeight="false" outlineLevel="0" collapsed="false">
      <c r="G1403" s="25" t="n">
        <v>44440</v>
      </c>
      <c r="H1403" s="43" t="s">
        <v>23</v>
      </c>
      <c r="I1403" s="5" t="n">
        <v>-17.09</v>
      </c>
      <c r="J1403" s="10" t="s">
        <v>37</v>
      </c>
    </row>
    <row r="1404" customFormat="false" ht="12.8" hidden="false" customHeight="false" outlineLevel="0" collapsed="false">
      <c r="G1404" s="25" t="n">
        <v>44440</v>
      </c>
      <c r="H1404" s="48" t="s">
        <v>26</v>
      </c>
      <c r="I1404" s="5" t="n">
        <v>-15</v>
      </c>
      <c r="J1404" s="10" t="s">
        <v>130</v>
      </c>
    </row>
    <row r="1405" customFormat="false" ht="12.8" hidden="false" customHeight="false" outlineLevel="0" collapsed="false">
      <c r="G1405" s="25" t="n">
        <v>44440</v>
      </c>
      <c r="H1405" s="38" t="s">
        <v>21</v>
      </c>
      <c r="I1405" s="5" t="n">
        <v>-15</v>
      </c>
      <c r="J1405" s="10" t="s">
        <v>846</v>
      </c>
    </row>
    <row r="1406" customFormat="false" ht="12.8" hidden="false" customHeight="false" outlineLevel="0" collapsed="false">
      <c r="G1406" s="25" t="n">
        <v>44441</v>
      </c>
      <c r="H1406" s="43" t="s">
        <v>23</v>
      </c>
      <c r="I1406" s="5" t="n">
        <v>-60</v>
      </c>
      <c r="J1406" s="10" t="s">
        <v>37</v>
      </c>
    </row>
    <row r="1407" customFormat="false" ht="12.8" hidden="false" customHeight="false" outlineLevel="0" collapsed="false">
      <c r="G1407" s="25" t="n">
        <v>44441</v>
      </c>
      <c r="H1407" s="43" t="s">
        <v>23</v>
      </c>
      <c r="I1407" s="5" t="n">
        <v>-9.52</v>
      </c>
      <c r="J1407" s="10" t="s">
        <v>37</v>
      </c>
    </row>
    <row r="1408" customFormat="false" ht="12.8" hidden="false" customHeight="false" outlineLevel="0" collapsed="false">
      <c r="G1408" s="25" t="n">
        <v>44442</v>
      </c>
      <c r="H1408" s="43" t="s">
        <v>23</v>
      </c>
      <c r="I1408" s="5" t="n">
        <v>-60</v>
      </c>
      <c r="J1408" s="10" t="s">
        <v>37</v>
      </c>
    </row>
    <row r="1409" customFormat="false" ht="12.8" hidden="false" customHeight="false" outlineLevel="0" collapsed="false">
      <c r="G1409" s="25" t="n">
        <v>44442</v>
      </c>
      <c r="H1409" s="43" t="s">
        <v>23</v>
      </c>
      <c r="I1409" s="5" t="n">
        <v>-22</v>
      </c>
      <c r="J1409" s="10" t="s">
        <v>37</v>
      </c>
      <c r="K1409" s="10"/>
    </row>
    <row r="1410" customFormat="false" ht="12.8" hidden="false" customHeight="false" outlineLevel="0" collapsed="false">
      <c r="G1410" s="25" t="n">
        <v>44443</v>
      </c>
      <c r="H1410" s="26" t="s">
        <v>10</v>
      </c>
      <c r="I1410" s="5" t="n">
        <v>0.19</v>
      </c>
      <c r="J1410" s="10" t="s">
        <v>945</v>
      </c>
    </row>
    <row r="1411" customFormat="false" ht="12.8" hidden="false" customHeight="false" outlineLevel="0" collapsed="false">
      <c r="G1411" s="25" t="n">
        <v>44443</v>
      </c>
      <c r="H1411" s="26" t="s">
        <v>10</v>
      </c>
      <c r="I1411" s="5" t="n">
        <v>-70</v>
      </c>
      <c r="J1411" s="54" t="s">
        <v>38</v>
      </c>
    </row>
    <row r="1412" customFormat="false" ht="12.8" hidden="false" customHeight="false" outlineLevel="0" collapsed="false">
      <c r="G1412" s="25" t="n">
        <v>44443</v>
      </c>
      <c r="H1412" s="32" t="s">
        <v>15</v>
      </c>
      <c r="I1412" s="5" t="n">
        <v>70</v>
      </c>
      <c r="J1412" s="54" t="s">
        <v>38</v>
      </c>
    </row>
    <row r="1413" customFormat="false" ht="12.8" hidden="false" customHeight="false" outlineLevel="0" collapsed="false">
      <c r="G1413" s="25" t="n">
        <v>44443</v>
      </c>
      <c r="H1413" s="32" t="s">
        <v>15</v>
      </c>
      <c r="I1413" s="5" t="n">
        <v>-60</v>
      </c>
      <c r="J1413" s="54" t="s">
        <v>37</v>
      </c>
    </row>
    <row r="1414" customFormat="false" ht="12.8" hidden="false" customHeight="false" outlineLevel="0" collapsed="false">
      <c r="G1414" s="25" t="n">
        <v>44443</v>
      </c>
      <c r="H1414" s="32" t="s">
        <v>15</v>
      </c>
      <c r="I1414" s="5" t="n">
        <v>-12.95</v>
      </c>
      <c r="J1414" s="54" t="s">
        <v>37</v>
      </c>
      <c r="K1414" s="10"/>
    </row>
    <row r="1415" customFormat="false" ht="12.8" hidden="false" customHeight="false" outlineLevel="0" collapsed="false">
      <c r="G1415" s="25" t="n">
        <v>44444</v>
      </c>
      <c r="H1415" s="26" t="s">
        <v>10</v>
      </c>
      <c r="I1415" s="5" t="n">
        <v>-73</v>
      </c>
      <c r="J1415" s="54" t="s">
        <v>38</v>
      </c>
      <c r="K1415" s="10"/>
    </row>
    <row r="1416" customFormat="false" ht="12.8" hidden="false" customHeight="false" outlineLevel="0" collapsed="false">
      <c r="G1416" s="25" t="n">
        <v>44444</v>
      </c>
      <c r="H1416" s="32" t="s">
        <v>15</v>
      </c>
      <c r="I1416" s="5" t="n">
        <v>73</v>
      </c>
      <c r="J1416" s="54" t="s">
        <v>38</v>
      </c>
      <c r="K1416" s="10"/>
    </row>
    <row r="1417" customFormat="false" ht="12.8" hidden="false" customHeight="false" outlineLevel="0" collapsed="false">
      <c r="G1417" s="25" t="n">
        <v>44444</v>
      </c>
      <c r="H1417" s="32" t="s">
        <v>15</v>
      </c>
      <c r="I1417" s="5" t="n">
        <v>-60</v>
      </c>
      <c r="J1417" s="54" t="s">
        <v>37</v>
      </c>
      <c r="K1417" s="10"/>
    </row>
    <row r="1418" customFormat="false" ht="12.8" hidden="false" customHeight="false" outlineLevel="0" collapsed="false">
      <c r="G1418" s="25" t="n">
        <v>44444</v>
      </c>
      <c r="H1418" s="32" t="s">
        <v>15</v>
      </c>
      <c r="I1418" s="5" t="n">
        <v>7.77</v>
      </c>
      <c r="J1418" s="54" t="s">
        <v>37</v>
      </c>
      <c r="K1418" s="10"/>
    </row>
    <row r="1419" customFormat="false" ht="12.8" hidden="false" customHeight="false" outlineLevel="0" collapsed="false">
      <c r="G1419" s="25" t="n">
        <v>44444</v>
      </c>
      <c r="H1419" s="52" t="s">
        <v>14</v>
      </c>
      <c r="I1419" s="5" t="n">
        <v>-3203</v>
      </c>
      <c r="J1419" s="10" t="s">
        <v>946</v>
      </c>
      <c r="K1419" s="10"/>
    </row>
    <row r="1420" customFormat="false" ht="12.8" hidden="false" customHeight="false" outlineLevel="0" collapsed="false">
      <c r="G1420" s="25" t="n">
        <v>44444</v>
      </c>
      <c r="H1420" s="48" t="s">
        <v>26</v>
      </c>
      <c r="I1420" s="5" t="n">
        <v>3203</v>
      </c>
      <c r="J1420" s="10" t="s">
        <v>946</v>
      </c>
      <c r="K1420" s="10"/>
    </row>
    <row r="1421" customFormat="false" ht="12.8" hidden="false" customHeight="false" outlineLevel="0" collapsed="false">
      <c r="G1421" s="25" t="n">
        <v>44445</v>
      </c>
      <c r="H1421" s="48" t="s">
        <v>26</v>
      </c>
      <c r="I1421" s="5" t="n">
        <v>-3200</v>
      </c>
      <c r="J1421" s="10" t="s">
        <v>146</v>
      </c>
      <c r="K1421" s="10"/>
    </row>
    <row r="1422" customFormat="false" ht="12.8" hidden="false" customHeight="false" outlineLevel="0" collapsed="false">
      <c r="G1422" s="25" t="n">
        <v>44445</v>
      </c>
      <c r="H1422" s="32" t="s">
        <v>15</v>
      </c>
      <c r="I1422" s="5" t="n">
        <v>3200</v>
      </c>
      <c r="J1422" s="10" t="s">
        <v>947</v>
      </c>
      <c r="K1422" s="10"/>
    </row>
    <row r="1423" customFormat="false" ht="12.8" hidden="false" customHeight="false" outlineLevel="0" collapsed="false">
      <c r="G1423" s="25" t="n">
        <v>44445</v>
      </c>
      <c r="H1423" s="48" t="s">
        <v>26</v>
      </c>
      <c r="I1423" s="5" t="n">
        <v>-3</v>
      </c>
      <c r="J1423" s="10" t="s">
        <v>130</v>
      </c>
      <c r="K1423" s="10"/>
    </row>
    <row r="1424" customFormat="false" ht="12.8" hidden="false" customHeight="false" outlineLevel="0" collapsed="false">
      <c r="G1424" s="25" t="n">
        <v>44445</v>
      </c>
      <c r="H1424" s="32" t="s">
        <v>15</v>
      </c>
      <c r="I1424" s="5" t="n">
        <v>-3200</v>
      </c>
      <c r="J1424" s="10" t="s">
        <v>56</v>
      </c>
      <c r="K1424" s="10"/>
    </row>
    <row r="1425" customFormat="false" ht="12.8" hidden="false" customHeight="false" outlineLevel="0" collapsed="false">
      <c r="G1425" s="25" t="n">
        <v>44445</v>
      </c>
      <c r="H1425" s="26" t="s">
        <v>10</v>
      </c>
      <c r="I1425" s="5" t="n">
        <v>3200</v>
      </c>
      <c r="J1425" s="10" t="s">
        <v>56</v>
      </c>
      <c r="K1425" s="10"/>
    </row>
    <row r="1426" customFormat="false" ht="12.8" hidden="false" customHeight="false" outlineLevel="0" collapsed="false">
      <c r="G1426" s="25" t="n">
        <v>44445</v>
      </c>
      <c r="H1426" s="26" t="s">
        <v>10</v>
      </c>
      <c r="I1426" s="5" t="n">
        <v>-53</v>
      </c>
      <c r="J1426" s="54" t="s">
        <v>38</v>
      </c>
      <c r="K1426" s="54"/>
      <c r="L1426" s="10"/>
    </row>
    <row r="1427" customFormat="false" ht="12.8" hidden="false" customHeight="false" outlineLevel="0" collapsed="false">
      <c r="G1427" s="25" t="n">
        <v>44445</v>
      </c>
      <c r="H1427" s="32" t="s">
        <v>15</v>
      </c>
      <c r="I1427" s="5" t="n">
        <v>53</v>
      </c>
      <c r="J1427" s="54" t="s">
        <v>38</v>
      </c>
      <c r="K1427" s="54"/>
      <c r="L1427" s="10"/>
    </row>
    <row r="1428" customFormat="false" ht="12.8" hidden="false" customHeight="false" outlineLevel="0" collapsed="false">
      <c r="G1428" s="25" t="n">
        <v>44445</v>
      </c>
      <c r="H1428" s="32" t="s">
        <v>15</v>
      </c>
      <c r="I1428" s="5" t="n">
        <v>-60</v>
      </c>
      <c r="J1428" s="54" t="s">
        <v>37</v>
      </c>
      <c r="K1428" s="54"/>
      <c r="L1428" s="10"/>
    </row>
    <row r="1429" customFormat="false" ht="12.8" hidden="false" customHeight="false" outlineLevel="0" collapsed="false">
      <c r="G1429" s="25" t="n">
        <v>44445</v>
      </c>
      <c r="H1429" s="48" t="s">
        <v>26</v>
      </c>
      <c r="I1429" s="5" t="n">
        <v>1.02</v>
      </c>
      <c r="J1429" s="10" t="s">
        <v>948</v>
      </c>
      <c r="K1429" s="54"/>
      <c r="L1429" s="10"/>
    </row>
    <row r="1430" customFormat="false" ht="12.8" hidden="false" customHeight="false" outlineLevel="0" collapsed="false">
      <c r="G1430" s="25" t="n">
        <v>44445</v>
      </c>
      <c r="H1430" s="52" t="s">
        <v>14</v>
      </c>
      <c r="I1430" s="5" t="n">
        <v>4425</v>
      </c>
      <c r="J1430" s="10" t="s">
        <v>949</v>
      </c>
      <c r="K1430" s="54"/>
      <c r="L1430" s="10"/>
    </row>
    <row r="1431" customFormat="false" ht="12.8" hidden="false" customHeight="false" outlineLevel="0" collapsed="false">
      <c r="G1431" s="25" t="n">
        <v>44445</v>
      </c>
      <c r="H1431" s="52" t="s">
        <v>14</v>
      </c>
      <c r="I1431" s="5" t="n">
        <v>1.17</v>
      </c>
      <c r="J1431" s="10" t="s">
        <v>40</v>
      </c>
      <c r="K1431" s="54"/>
      <c r="L1431" s="10"/>
    </row>
    <row r="1432" customFormat="false" ht="12.8" hidden="false" customHeight="false" outlineLevel="0" collapsed="false">
      <c r="G1432" s="25" t="n">
        <v>44445</v>
      </c>
      <c r="H1432" s="32" t="s">
        <v>15</v>
      </c>
      <c r="I1432" s="5" t="n">
        <v>-8.23</v>
      </c>
      <c r="J1432" s="54" t="s">
        <v>37</v>
      </c>
      <c r="K1432" s="54"/>
      <c r="L1432" s="10"/>
    </row>
    <row r="1433" customFormat="false" ht="12.8" hidden="false" customHeight="false" outlineLevel="0" collapsed="false">
      <c r="G1433" s="25" t="n">
        <v>44445</v>
      </c>
      <c r="H1433" s="26" t="s">
        <v>10</v>
      </c>
      <c r="I1433" s="5" t="n">
        <v>-1000</v>
      </c>
      <c r="J1433" s="54" t="s">
        <v>38</v>
      </c>
      <c r="K1433" s="54"/>
      <c r="L1433" s="10"/>
    </row>
    <row r="1434" customFormat="false" ht="12.8" hidden="false" customHeight="false" outlineLevel="0" collapsed="false">
      <c r="G1434" s="25" t="n">
        <v>44445</v>
      </c>
      <c r="H1434" s="32" t="s">
        <v>15</v>
      </c>
      <c r="I1434" s="5" t="n">
        <v>1000</v>
      </c>
      <c r="J1434" s="54" t="s">
        <v>38</v>
      </c>
      <c r="K1434" s="54"/>
      <c r="L1434" s="10"/>
    </row>
    <row r="1435" customFormat="false" ht="12.8" hidden="false" customHeight="false" outlineLevel="0" collapsed="false">
      <c r="G1435" s="25" t="n">
        <v>44446</v>
      </c>
      <c r="H1435" s="32" t="s">
        <v>15</v>
      </c>
      <c r="I1435" s="5" t="n">
        <v>-1000</v>
      </c>
      <c r="J1435" s="10" t="s">
        <v>937</v>
      </c>
      <c r="L1435" s="10"/>
    </row>
    <row r="1436" customFormat="false" ht="12.8" hidden="false" customHeight="false" outlineLevel="0" collapsed="false">
      <c r="G1436" s="25" t="n">
        <v>44446</v>
      </c>
      <c r="H1436" s="32" t="s">
        <v>15</v>
      </c>
      <c r="I1436" s="5" t="n">
        <v>-300</v>
      </c>
      <c r="J1436" s="54" t="s">
        <v>950</v>
      </c>
      <c r="K1436" s="10"/>
      <c r="L1436" s="10"/>
    </row>
    <row r="1437" customFormat="false" ht="12.8" hidden="false" customHeight="false" outlineLevel="0" collapsed="false">
      <c r="G1437" s="25" t="n">
        <v>44446</v>
      </c>
      <c r="H1437" s="26" t="s">
        <v>10</v>
      </c>
      <c r="I1437" s="5" t="n">
        <v>-50</v>
      </c>
      <c r="J1437" s="54" t="s">
        <v>38</v>
      </c>
      <c r="K1437" s="10"/>
      <c r="L1437" s="10"/>
    </row>
    <row r="1438" customFormat="false" ht="12.8" hidden="false" customHeight="false" outlineLevel="0" collapsed="false">
      <c r="G1438" s="25" t="n">
        <v>44446</v>
      </c>
      <c r="H1438" s="32" t="s">
        <v>15</v>
      </c>
      <c r="I1438" s="5" t="n">
        <v>50</v>
      </c>
      <c r="J1438" s="54" t="s">
        <v>38</v>
      </c>
      <c r="K1438" s="10"/>
      <c r="L1438" s="10"/>
    </row>
    <row r="1439" customFormat="false" ht="12.8" hidden="false" customHeight="false" outlineLevel="0" collapsed="false">
      <c r="G1439" s="25" t="n">
        <v>44446</v>
      </c>
      <c r="H1439" s="32" t="s">
        <v>15</v>
      </c>
      <c r="I1439" s="5" t="n">
        <v>-55.26</v>
      </c>
      <c r="J1439" s="54" t="s">
        <v>37</v>
      </c>
      <c r="K1439" s="10"/>
      <c r="L1439" s="10"/>
    </row>
    <row r="1440" customFormat="false" ht="12.8" hidden="false" customHeight="false" outlineLevel="0" collapsed="false">
      <c r="G1440" s="25" t="n">
        <v>44446</v>
      </c>
      <c r="H1440" s="26" t="s">
        <v>10</v>
      </c>
      <c r="I1440" s="5" t="n">
        <v>-300</v>
      </c>
      <c r="J1440" s="54" t="s">
        <v>38</v>
      </c>
      <c r="K1440" s="10"/>
      <c r="L1440" s="10"/>
    </row>
    <row r="1441" customFormat="false" ht="12.8" hidden="false" customHeight="false" outlineLevel="0" collapsed="false">
      <c r="G1441" s="25" t="n">
        <v>44446</v>
      </c>
      <c r="H1441" s="32" t="s">
        <v>15</v>
      </c>
      <c r="I1441" s="5" t="n">
        <v>300</v>
      </c>
      <c r="J1441" s="54" t="s">
        <v>38</v>
      </c>
      <c r="K1441" s="10"/>
      <c r="L1441" s="10"/>
    </row>
    <row r="1442" customFormat="false" ht="12.8" hidden="false" customHeight="false" outlineLevel="0" collapsed="false">
      <c r="G1442" s="25" t="n">
        <v>44447</v>
      </c>
      <c r="H1442" s="26" t="s">
        <v>10</v>
      </c>
      <c r="I1442" s="5" t="n">
        <v>-74</v>
      </c>
      <c r="J1442" s="54" t="s">
        <v>38</v>
      </c>
      <c r="K1442" s="10"/>
    </row>
    <row r="1443" customFormat="false" ht="12.8" hidden="false" customHeight="false" outlineLevel="0" collapsed="false">
      <c r="G1443" s="25" t="n">
        <v>44447</v>
      </c>
      <c r="H1443" s="32" t="s">
        <v>15</v>
      </c>
      <c r="I1443" s="5" t="n">
        <v>74</v>
      </c>
      <c r="J1443" s="54" t="s">
        <v>38</v>
      </c>
      <c r="K1443" s="10"/>
    </row>
    <row r="1444" customFormat="false" ht="12.8" hidden="false" customHeight="false" outlineLevel="0" collapsed="false">
      <c r="G1444" s="25" t="n">
        <v>44447</v>
      </c>
      <c r="H1444" s="32" t="s">
        <v>15</v>
      </c>
      <c r="I1444" s="5" t="n">
        <v>-70.67</v>
      </c>
      <c r="J1444" s="54" t="s">
        <v>37</v>
      </c>
      <c r="K1444" s="10"/>
    </row>
    <row r="1445" customFormat="false" ht="12.8" hidden="false" customHeight="false" outlineLevel="0" collapsed="false">
      <c r="G1445" s="25" t="n">
        <v>44447</v>
      </c>
      <c r="H1445" s="26" t="s">
        <v>10</v>
      </c>
      <c r="I1445" s="5" t="n">
        <v>-45.25</v>
      </c>
      <c r="J1445" s="54" t="s">
        <v>951</v>
      </c>
      <c r="K1445" s="10"/>
    </row>
    <row r="1446" customFormat="false" ht="12.8" hidden="false" customHeight="false" outlineLevel="0" collapsed="false">
      <c r="G1446" s="25" t="n">
        <v>44447</v>
      </c>
      <c r="H1446" s="32" t="s">
        <v>15</v>
      </c>
      <c r="I1446" s="5" t="n">
        <v>45.25</v>
      </c>
      <c r="J1446" s="54" t="s">
        <v>951</v>
      </c>
      <c r="K1446" s="10"/>
    </row>
    <row r="1447" customFormat="false" ht="12.8" hidden="false" customHeight="false" outlineLevel="0" collapsed="false">
      <c r="G1447" s="25" t="n">
        <v>44447</v>
      </c>
      <c r="H1447" s="32" t="s">
        <v>15</v>
      </c>
      <c r="I1447" s="5" t="n">
        <v>-50</v>
      </c>
      <c r="J1447" s="54" t="s">
        <v>952</v>
      </c>
    </row>
    <row r="1448" customFormat="false" ht="12.8" hidden="false" customHeight="false" outlineLevel="0" collapsed="false">
      <c r="G1448" s="25" t="n">
        <v>44448</v>
      </c>
      <c r="H1448" s="26" t="s">
        <v>10</v>
      </c>
      <c r="I1448" s="5" t="n">
        <v>-75</v>
      </c>
      <c r="J1448" s="54" t="s">
        <v>38</v>
      </c>
    </row>
    <row r="1449" customFormat="false" ht="12.8" hidden="false" customHeight="false" outlineLevel="0" collapsed="false">
      <c r="G1449" s="25" t="n">
        <v>44448</v>
      </c>
      <c r="H1449" s="32" t="s">
        <v>15</v>
      </c>
      <c r="I1449" s="5" t="n">
        <v>75</v>
      </c>
      <c r="J1449" s="54" t="s">
        <v>38</v>
      </c>
    </row>
    <row r="1450" customFormat="false" ht="12.8" hidden="false" customHeight="false" outlineLevel="0" collapsed="false">
      <c r="G1450" s="25" t="n">
        <v>44448</v>
      </c>
      <c r="H1450" s="32" t="s">
        <v>15</v>
      </c>
      <c r="I1450" s="5" t="n">
        <v>-72.07</v>
      </c>
      <c r="J1450" s="54" t="s">
        <v>37</v>
      </c>
    </row>
    <row r="1451" customFormat="false" ht="12.8" hidden="false" customHeight="false" outlineLevel="0" collapsed="false">
      <c r="G1451" s="25" t="n">
        <v>44449</v>
      </c>
      <c r="H1451" s="26" t="s">
        <v>10</v>
      </c>
      <c r="I1451" s="5" t="n">
        <v>-72.1</v>
      </c>
      <c r="J1451" s="54" t="s">
        <v>38</v>
      </c>
    </row>
    <row r="1452" customFormat="false" ht="12.8" hidden="false" customHeight="false" outlineLevel="0" collapsed="false">
      <c r="G1452" s="25" t="n">
        <v>44449</v>
      </c>
      <c r="H1452" s="32" t="s">
        <v>15</v>
      </c>
      <c r="I1452" s="5" t="n">
        <v>72.1</v>
      </c>
      <c r="J1452" s="54" t="s">
        <v>38</v>
      </c>
    </row>
    <row r="1453" customFormat="false" ht="12.8" hidden="false" customHeight="false" outlineLevel="0" collapsed="false">
      <c r="G1453" s="25" t="n">
        <v>44449</v>
      </c>
      <c r="H1453" s="32" t="s">
        <v>15</v>
      </c>
      <c r="I1453" s="5" t="n">
        <v>-66.67</v>
      </c>
      <c r="J1453" s="54" t="s">
        <v>37</v>
      </c>
    </row>
    <row r="1454" customFormat="false" ht="12.8" hidden="false" customHeight="false" outlineLevel="0" collapsed="false">
      <c r="G1454" s="25" t="n">
        <v>44449</v>
      </c>
      <c r="H1454" s="26" t="s">
        <v>10</v>
      </c>
      <c r="I1454" s="5" t="n">
        <v>-22</v>
      </c>
      <c r="J1454" s="54" t="s">
        <v>38</v>
      </c>
    </row>
    <row r="1455" customFormat="false" ht="12.8" hidden="false" customHeight="false" outlineLevel="0" collapsed="false">
      <c r="G1455" s="25" t="n">
        <v>44449</v>
      </c>
      <c r="H1455" s="32" t="s">
        <v>15</v>
      </c>
      <c r="I1455" s="5" t="n">
        <v>22</v>
      </c>
      <c r="J1455" s="54" t="s">
        <v>38</v>
      </c>
    </row>
    <row r="1456" customFormat="false" ht="12.8" hidden="false" customHeight="false" outlineLevel="0" collapsed="false">
      <c r="G1456" s="25" t="n">
        <v>44449</v>
      </c>
      <c r="H1456" s="32" t="s">
        <v>15</v>
      </c>
      <c r="I1456" s="5" t="n">
        <v>-22.44</v>
      </c>
      <c r="J1456" s="54" t="s">
        <v>37</v>
      </c>
    </row>
    <row r="1457" customFormat="false" ht="12.8" hidden="false" customHeight="false" outlineLevel="0" collapsed="false">
      <c r="G1457" s="25" t="n">
        <v>44450</v>
      </c>
      <c r="H1457" s="26" t="s">
        <v>10</v>
      </c>
      <c r="I1457" s="5" t="n">
        <v>-67</v>
      </c>
      <c r="J1457" s="54" t="s">
        <v>38</v>
      </c>
    </row>
    <row r="1458" customFormat="false" ht="12.8" hidden="false" customHeight="false" outlineLevel="0" collapsed="false">
      <c r="G1458" s="25" t="n">
        <v>44450</v>
      </c>
      <c r="H1458" s="32" t="s">
        <v>15</v>
      </c>
      <c r="I1458" s="5" t="n">
        <v>67</v>
      </c>
      <c r="J1458" s="54" t="s">
        <v>38</v>
      </c>
    </row>
    <row r="1459" customFormat="false" ht="12.8" hidden="false" customHeight="false" outlineLevel="0" collapsed="false">
      <c r="G1459" s="25" t="n">
        <v>44450</v>
      </c>
      <c r="H1459" s="32" t="s">
        <v>15</v>
      </c>
      <c r="I1459" s="5" t="n">
        <v>-73.92</v>
      </c>
      <c r="J1459" s="54" t="s">
        <v>37</v>
      </c>
    </row>
    <row r="1460" customFormat="false" ht="12.8" hidden="false" customHeight="false" outlineLevel="0" collapsed="false">
      <c r="G1460" s="25" t="n">
        <v>44451</v>
      </c>
      <c r="H1460" s="26" t="s">
        <v>10</v>
      </c>
      <c r="I1460" s="5" t="n">
        <v>-74</v>
      </c>
      <c r="J1460" s="54" t="s">
        <v>38</v>
      </c>
    </row>
    <row r="1461" customFormat="false" ht="12.8" hidden="false" customHeight="false" outlineLevel="0" collapsed="false">
      <c r="G1461" s="25" t="n">
        <v>44451</v>
      </c>
      <c r="H1461" s="32" t="s">
        <v>15</v>
      </c>
      <c r="I1461" s="5" t="n">
        <v>74</v>
      </c>
      <c r="J1461" s="54" t="s">
        <v>38</v>
      </c>
    </row>
    <row r="1462" customFormat="false" ht="12.8" hidden="false" customHeight="false" outlineLevel="0" collapsed="false">
      <c r="G1462" s="25" t="n">
        <v>44451</v>
      </c>
      <c r="H1462" s="32" t="s">
        <v>15</v>
      </c>
      <c r="I1462" s="5" t="n">
        <v>-62.5</v>
      </c>
      <c r="J1462" s="54" t="s">
        <v>37</v>
      </c>
    </row>
    <row r="1463" customFormat="false" ht="12.8" hidden="false" customHeight="false" outlineLevel="0" collapsed="false">
      <c r="G1463" s="25" t="n">
        <v>44451</v>
      </c>
      <c r="H1463" s="32" t="s">
        <v>15</v>
      </c>
      <c r="I1463" s="5" t="n">
        <v>-11.88</v>
      </c>
      <c r="J1463" s="54" t="s">
        <v>37</v>
      </c>
    </row>
    <row r="1464" customFormat="false" ht="12.8" hidden="false" customHeight="false" outlineLevel="0" collapsed="false">
      <c r="G1464" s="25" t="n">
        <v>44452</v>
      </c>
      <c r="H1464" s="26" t="s">
        <v>10</v>
      </c>
      <c r="I1464" s="5" t="n">
        <v>-73.5</v>
      </c>
      <c r="J1464" s="54" t="s">
        <v>38</v>
      </c>
    </row>
    <row r="1465" customFormat="false" ht="12.8" hidden="false" customHeight="false" outlineLevel="0" collapsed="false">
      <c r="G1465" s="25" t="n">
        <v>44452</v>
      </c>
      <c r="H1465" s="32" t="s">
        <v>15</v>
      </c>
      <c r="I1465" s="5" t="n">
        <v>73.5</v>
      </c>
      <c r="J1465" s="54" t="s">
        <v>38</v>
      </c>
    </row>
    <row r="1466" customFormat="false" ht="12.8" hidden="false" customHeight="false" outlineLevel="0" collapsed="false">
      <c r="G1466" s="25" t="n">
        <v>44452</v>
      </c>
      <c r="H1466" s="32" t="s">
        <v>15</v>
      </c>
      <c r="I1466" s="5" t="n">
        <v>-71.67</v>
      </c>
      <c r="J1466" s="54" t="s">
        <v>37</v>
      </c>
    </row>
    <row r="1467" customFormat="false" ht="12.8" hidden="false" customHeight="false" outlineLevel="0" collapsed="false">
      <c r="G1467" s="25" t="n">
        <v>44453</v>
      </c>
      <c r="H1467" s="26" t="s">
        <v>10</v>
      </c>
      <c r="I1467" s="5" t="n">
        <v>-72</v>
      </c>
      <c r="J1467" s="54" t="s">
        <v>38</v>
      </c>
    </row>
    <row r="1468" customFormat="false" ht="12.8" hidden="false" customHeight="false" outlineLevel="0" collapsed="false">
      <c r="G1468" s="25" t="n">
        <v>44453</v>
      </c>
      <c r="H1468" s="32" t="s">
        <v>15</v>
      </c>
      <c r="I1468" s="5" t="n">
        <v>72</v>
      </c>
      <c r="J1468" s="54" t="s">
        <v>38</v>
      </c>
    </row>
    <row r="1469" customFormat="false" ht="12.8" hidden="false" customHeight="false" outlineLevel="0" collapsed="false">
      <c r="G1469" s="25" t="n">
        <v>44453</v>
      </c>
      <c r="H1469" s="32" t="s">
        <v>15</v>
      </c>
      <c r="I1469" s="5" t="n">
        <v>-47.67</v>
      </c>
      <c r="J1469" s="54" t="s">
        <v>37</v>
      </c>
    </row>
    <row r="1470" customFormat="false" ht="12.8" hidden="false" customHeight="false" outlineLevel="0" collapsed="false">
      <c r="G1470" s="25" t="n">
        <v>44454</v>
      </c>
      <c r="H1470" s="26" t="s">
        <v>10</v>
      </c>
      <c r="I1470" s="5" t="n">
        <v>-47.5</v>
      </c>
      <c r="J1470" s="54" t="s">
        <v>38</v>
      </c>
      <c r="K1470" s="10"/>
    </row>
    <row r="1471" customFormat="false" ht="12.8" hidden="false" customHeight="false" outlineLevel="0" collapsed="false">
      <c r="G1471" s="25" t="n">
        <v>44454</v>
      </c>
      <c r="H1471" s="32" t="s">
        <v>15</v>
      </c>
      <c r="I1471" s="5" t="n">
        <v>47.5</v>
      </c>
      <c r="J1471" s="54" t="s">
        <v>38</v>
      </c>
      <c r="K1471" s="10"/>
    </row>
    <row r="1472" customFormat="false" ht="12.8" hidden="false" customHeight="false" outlineLevel="0" collapsed="false">
      <c r="G1472" s="25" t="n">
        <v>44454</v>
      </c>
      <c r="H1472" s="32" t="s">
        <v>15</v>
      </c>
      <c r="I1472" s="5" t="n">
        <v>-68.57</v>
      </c>
      <c r="J1472" s="54" t="s">
        <v>37</v>
      </c>
      <c r="K1472" s="10"/>
    </row>
    <row r="1473" customFormat="false" ht="12.8" hidden="false" customHeight="false" outlineLevel="0" collapsed="false">
      <c r="G1473" s="25" t="n">
        <v>44453</v>
      </c>
      <c r="H1473" s="43" t="s">
        <v>23</v>
      </c>
      <c r="I1473" s="5" t="n">
        <v>1386</v>
      </c>
      <c r="J1473" s="54" t="s">
        <v>912</v>
      </c>
    </row>
    <row r="1474" customFormat="false" ht="12.8" hidden="false" customHeight="false" outlineLevel="0" collapsed="false">
      <c r="G1474" s="25" t="n">
        <v>44453</v>
      </c>
      <c r="H1474" s="43" t="s">
        <v>23</v>
      </c>
      <c r="I1474" s="5" t="n">
        <v>-5</v>
      </c>
      <c r="J1474" s="10" t="s">
        <v>953</v>
      </c>
    </row>
    <row r="1475" customFormat="false" ht="12.8" hidden="false" customHeight="false" outlineLevel="0" collapsed="false">
      <c r="G1475" s="25" t="n">
        <v>44454</v>
      </c>
      <c r="H1475" s="43" t="s">
        <v>23</v>
      </c>
      <c r="I1475" s="5" t="n">
        <v>-15</v>
      </c>
      <c r="J1475" s="10" t="s">
        <v>954</v>
      </c>
    </row>
    <row r="1476" customFormat="false" ht="12.8" hidden="false" customHeight="false" outlineLevel="0" collapsed="false">
      <c r="G1476" s="25" t="n">
        <v>44454</v>
      </c>
      <c r="H1476" s="38" t="s">
        <v>21</v>
      </c>
      <c r="I1476" s="5" t="n">
        <v>15</v>
      </c>
      <c r="J1476" s="10" t="s">
        <v>954</v>
      </c>
    </row>
    <row r="1477" customFormat="false" ht="12.8" hidden="false" customHeight="false" outlineLevel="0" collapsed="false">
      <c r="G1477" s="25" t="n">
        <v>44454</v>
      </c>
      <c r="H1477" s="43" t="s">
        <v>23</v>
      </c>
      <c r="I1477" s="5" t="n">
        <v>-760</v>
      </c>
      <c r="J1477" s="10" t="s">
        <v>955</v>
      </c>
    </row>
    <row r="1478" customFormat="false" ht="12.8" hidden="false" customHeight="false" outlineLevel="0" collapsed="false">
      <c r="G1478" s="25" t="n">
        <v>44454</v>
      </c>
      <c r="H1478" s="43" t="s">
        <v>23</v>
      </c>
      <c r="I1478" s="5" t="n">
        <v>-169.41</v>
      </c>
      <c r="J1478" s="54" t="s">
        <v>47</v>
      </c>
    </row>
    <row r="1479" customFormat="false" ht="12.8" hidden="false" customHeight="false" outlineLevel="0" collapsed="false">
      <c r="G1479" s="25" t="n">
        <v>44454</v>
      </c>
      <c r="H1479" s="43" t="s">
        <v>23</v>
      </c>
      <c r="I1479" s="5" t="n">
        <v>-65</v>
      </c>
      <c r="J1479" s="10" t="s">
        <v>844</v>
      </c>
    </row>
    <row r="1480" customFormat="false" ht="12.8" hidden="false" customHeight="false" outlineLevel="0" collapsed="false">
      <c r="G1480" s="25" t="n">
        <v>44454</v>
      </c>
      <c r="H1480" s="43" t="s">
        <v>23</v>
      </c>
      <c r="I1480" s="5" t="n">
        <v>-355.26</v>
      </c>
      <c r="J1480" s="10" t="s">
        <v>843</v>
      </c>
    </row>
    <row r="1481" customFormat="false" ht="12.8" hidden="false" customHeight="false" outlineLevel="0" collapsed="false">
      <c r="G1481" s="25" t="n">
        <v>44454</v>
      </c>
      <c r="H1481" s="26" t="s">
        <v>10</v>
      </c>
      <c r="I1481" s="5" t="n">
        <v>-69</v>
      </c>
      <c r="J1481" s="54" t="s">
        <v>38</v>
      </c>
    </row>
    <row r="1482" customFormat="false" ht="12.8" hidden="false" customHeight="false" outlineLevel="0" collapsed="false">
      <c r="G1482" s="25" t="n">
        <v>44454</v>
      </c>
      <c r="H1482" s="32" t="s">
        <v>15</v>
      </c>
      <c r="I1482" s="5" t="n">
        <v>69</v>
      </c>
      <c r="J1482" s="54" t="s">
        <v>38</v>
      </c>
    </row>
    <row r="1483" customFormat="false" ht="12.8" hidden="false" customHeight="false" outlineLevel="0" collapsed="false">
      <c r="G1483" s="25" t="n">
        <v>44455</v>
      </c>
      <c r="H1483" s="32" t="s">
        <v>15</v>
      </c>
      <c r="I1483" s="5" t="n">
        <v>-73.67</v>
      </c>
      <c r="J1483" s="54" t="s">
        <v>37</v>
      </c>
    </row>
    <row r="1484" customFormat="false" ht="12.8" hidden="false" customHeight="false" outlineLevel="0" collapsed="false">
      <c r="G1484" s="25" t="n">
        <v>44455</v>
      </c>
      <c r="H1484" s="26" t="s">
        <v>10</v>
      </c>
      <c r="I1484" s="5" t="n">
        <v>-73</v>
      </c>
      <c r="J1484" s="54" t="s">
        <v>38</v>
      </c>
    </row>
    <row r="1485" customFormat="false" ht="12.8" hidden="false" customHeight="false" outlineLevel="0" collapsed="false">
      <c r="G1485" s="25" t="n">
        <v>44455</v>
      </c>
      <c r="H1485" s="32" t="s">
        <v>15</v>
      </c>
      <c r="I1485" s="5" t="n">
        <v>73</v>
      </c>
      <c r="J1485" s="54" t="s">
        <v>38</v>
      </c>
    </row>
    <row r="1486" customFormat="false" ht="12.8" hidden="false" customHeight="false" outlineLevel="0" collapsed="false">
      <c r="G1486" s="25" t="n">
        <v>44456</v>
      </c>
      <c r="H1486" s="26" t="s">
        <v>10</v>
      </c>
      <c r="I1486" s="5" t="n">
        <v>-76</v>
      </c>
      <c r="J1486" s="54" t="s">
        <v>38</v>
      </c>
    </row>
    <row r="1487" customFormat="false" ht="12.8" hidden="false" customHeight="false" outlineLevel="0" collapsed="false">
      <c r="G1487" s="25" t="n">
        <v>44456</v>
      </c>
      <c r="H1487" s="32" t="s">
        <v>15</v>
      </c>
      <c r="I1487" s="5" t="n">
        <v>76</v>
      </c>
      <c r="J1487" s="54" t="s">
        <v>38</v>
      </c>
    </row>
    <row r="1488" customFormat="false" ht="12.8" hidden="false" customHeight="false" outlineLevel="0" collapsed="false">
      <c r="G1488" s="25" t="n">
        <v>44456</v>
      </c>
      <c r="H1488" s="32" t="s">
        <v>15</v>
      </c>
      <c r="I1488" s="5" t="n">
        <v>-150</v>
      </c>
      <c r="J1488" s="10" t="s">
        <v>868</v>
      </c>
    </row>
    <row r="1489" customFormat="false" ht="12.8" hidden="false" customHeight="false" outlineLevel="0" collapsed="false">
      <c r="G1489" s="25" t="n">
        <v>44456</v>
      </c>
      <c r="H1489" s="43" t="s">
        <v>23</v>
      </c>
      <c r="I1489" s="5" t="n">
        <v>-73.58</v>
      </c>
      <c r="J1489" s="54" t="s">
        <v>37</v>
      </c>
    </row>
    <row r="1490" customFormat="false" ht="12.8" hidden="false" customHeight="false" outlineLevel="0" collapsed="false">
      <c r="G1490" s="25" t="n">
        <v>44455</v>
      </c>
      <c r="H1490" s="43" t="s">
        <v>23</v>
      </c>
      <c r="I1490" s="5" t="n">
        <v>500</v>
      </c>
      <c r="J1490" s="54" t="s">
        <v>912</v>
      </c>
    </row>
    <row r="1491" customFormat="false" ht="12.8" hidden="false" customHeight="false" outlineLevel="0" collapsed="false">
      <c r="G1491" s="25" t="n">
        <v>44456</v>
      </c>
      <c r="H1491" s="43" t="s">
        <v>23</v>
      </c>
      <c r="I1491" s="5" t="n">
        <v>-22.26</v>
      </c>
      <c r="J1491" s="54" t="s">
        <v>37</v>
      </c>
    </row>
    <row r="1492" customFormat="false" ht="12.8" hidden="false" customHeight="false" outlineLevel="0" collapsed="false">
      <c r="G1492" s="25" t="n">
        <v>44457</v>
      </c>
      <c r="H1492" s="43" t="s">
        <v>23</v>
      </c>
      <c r="I1492" s="5" t="n">
        <v>-63.09</v>
      </c>
      <c r="J1492" s="54" t="s">
        <v>37</v>
      </c>
    </row>
    <row r="1493" customFormat="false" ht="12.8" hidden="false" customHeight="false" outlineLevel="0" collapsed="false">
      <c r="G1493" s="25" t="n">
        <v>44458</v>
      </c>
      <c r="H1493" s="43" t="s">
        <v>23</v>
      </c>
      <c r="I1493" s="5" t="n">
        <v>-70.3</v>
      </c>
      <c r="J1493" s="54" t="s">
        <v>37</v>
      </c>
    </row>
    <row r="1494" customFormat="false" ht="12.8" hidden="false" customHeight="false" outlineLevel="0" collapsed="false">
      <c r="G1494" s="25" t="n">
        <v>44459</v>
      </c>
      <c r="H1494" s="43" t="s">
        <v>23</v>
      </c>
      <c r="I1494" s="5" t="n">
        <v>-74.48</v>
      </c>
      <c r="J1494" s="54" t="s">
        <v>37</v>
      </c>
    </row>
    <row r="1495" customFormat="false" ht="12.8" hidden="false" customHeight="false" outlineLevel="0" collapsed="false">
      <c r="G1495" s="25" t="n">
        <v>44460</v>
      </c>
      <c r="H1495" s="43" t="s">
        <v>23</v>
      </c>
      <c r="I1495" s="5" t="n">
        <v>-85.34</v>
      </c>
      <c r="J1495" s="54" t="s">
        <v>53</v>
      </c>
    </row>
    <row r="1496" customFormat="false" ht="12.8" hidden="false" customHeight="false" outlineLevel="0" collapsed="false">
      <c r="G1496" s="25" t="n">
        <v>44460</v>
      </c>
      <c r="H1496" s="43" t="s">
        <v>23</v>
      </c>
      <c r="I1496" s="5" t="n">
        <v>-62.69</v>
      </c>
      <c r="J1496" s="54" t="s">
        <v>37</v>
      </c>
    </row>
    <row r="1497" customFormat="false" ht="12.8" hidden="false" customHeight="false" outlineLevel="0" collapsed="false">
      <c r="G1497" s="25" t="n">
        <v>44461</v>
      </c>
      <c r="H1497" s="43" t="s">
        <v>23</v>
      </c>
      <c r="I1497" s="5" t="n">
        <v>-62.69</v>
      </c>
      <c r="J1497" s="54" t="s">
        <v>37</v>
      </c>
    </row>
    <row r="1498" customFormat="false" ht="12.8" hidden="false" customHeight="false" outlineLevel="0" collapsed="false">
      <c r="G1498" s="25" t="n">
        <v>44462</v>
      </c>
      <c r="H1498" s="26" t="s">
        <v>10</v>
      </c>
      <c r="I1498" s="5" t="n">
        <v>-74</v>
      </c>
      <c r="J1498" s="54" t="s">
        <v>38</v>
      </c>
    </row>
    <row r="1499" customFormat="false" ht="12.8" hidden="false" customHeight="false" outlineLevel="0" collapsed="false">
      <c r="G1499" s="25" t="n">
        <v>44462</v>
      </c>
      <c r="H1499" s="32" t="s">
        <v>15</v>
      </c>
      <c r="I1499" s="5" t="n">
        <v>74</v>
      </c>
      <c r="J1499" s="54" t="s">
        <v>38</v>
      </c>
    </row>
    <row r="1500" customFormat="false" ht="12.8" hidden="false" customHeight="false" outlineLevel="0" collapsed="false">
      <c r="G1500" s="25" t="n">
        <v>44462</v>
      </c>
      <c r="H1500" s="32" t="s">
        <v>15</v>
      </c>
      <c r="I1500" s="5" t="n">
        <v>-70.87</v>
      </c>
      <c r="J1500" s="54" t="s">
        <v>37</v>
      </c>
    </row>
    <row r="1501" customFormat="false" ht="12.8" hidden="false" customHeight="false" outlineLevel="0" collapsed="false">
      <c r="G1501" s="25" t="n">
        <v>44463</v>
      </c>
      <c r="H1501" s="26" t="s">
        <v>10</v>
      </c>
      <c r="I1501" s="5" t="n">
        <v>-71</v>
      </c>
      <c r="J1501" s="54" t="s">
        <v>38</v>
      </c>
    </row>
    <row r="1502" customFormat="false" ht="12.8" hidden="false" customHeight="false" outlineLevel="0" collapsed="false">
      <c r="G1502" s="25" t="n">
        <v>44463</v>
      </c>
      <c r="H1502" s="32" t="s">
        <v>15</v>
      </c>
      <c r="I1502" s="5" t="n">
        <v>71</v>
      </c>
      <c r="J1502" s="54" t="s">
        <v>38</v>
      </c>
    </row>
    <row r="1503" customFormat="false" ht="12.8" hidden="false" customHeight="true" outlineLevel="0" collapsed="false">
      <c r="G1503" s="25" t="n">
        <v>44463</v>
      </c>
      <c r="H1503" s="32" t="s">
        <v>15</v>
      </c>
      <c r="I1503" s="5" t="n">
        <v>-73.1</v>
      </c>
      <c r="J1503" s="54" t="s">
        <v>37</v>
      </c>
    </row>
    <row r="1504" customFormat="false" ht="12.8" hidden="false" customHeight="false" outlineLevel="0" collapsed="false">
      <c r="G1504" s="25" t="n">
        <v>44463</v>
      </c>
      <c r="H1504" s="26" t="s">
        <v>10</v>
      </c>
      <c r="I1504" s="5" t="n">
        <v>-100</v>
      </c>
      <c r="J1504" s="10" t="s">
        <v>956</v>
      </c>
    </row>
    <row r="1505" customFormat="false" ht="12.8" hidden="false" customHeight="false" outlineLevel="0" collapsed="false">
      <c r="G1505" s="25" t="n">
        <v>44463</v>
      </c>
      <c r="H1505" s="32" t="s">
        <v>15</v>
      </c>
      <c r="I1505" s="5" t="n">
        <v>100</v>
      </c>
      <c r="J1505" s="10" t="s">
        <v>38</v>
      </c>
    </row>
    <row r="1506" customFormat="false" ht="12.8" hidden="false" customHeight="false" outlineLevel="0" collapsed="false">
      <c r="G1506" s="25" t="n">
        <v>44463</v>
      </c>
      <c r="H1506" s="32" t="s">
        <v>15</v>
      </c>
      <c r="I1506" s="5" t="n">
        <v>-100</v>
      </c>
      <c r="J1506" s="10" t="s">
        <v>868</v>
      </c>
    </row>
    <row r="1507" customFormat="false" ht="12.8" hidden="false" customHeight="false" outlineLevel="0" collapsed="false">
      <c r="G1507" s="25" t="n">
        <v>44463</v>
      </c>
      <c r="H1507" s="26" t="s">
        <v>10</v>
      </c>
      <c r="I1507" s="5" t="n">
        <v>-150</v>
      </c>
      <c r="J1507" s="10" t="s">
        <v>957</v>
      </c>
    </row>
    <row r="1508" customFormat="false" ht="12.8" hidden="false" customHeight="false" outlineLevel="0" collapsed="false">
      <c r="G1508" s="25" t="n">
        <v>44463</v>
      </c>
      <c r="H1508" s="32" t="s">
        <v>15</v>
      </c>
      <c r="I1508" s="5" t="n">
        <v>150</v>
      </c>
      <c r="J1508" s="10" t="s">
        <v>38</v>
      </c>
    </row>
    <row r="1509" customFormat="false" ht="12.8" hidden="false" customHeight="false" outlineLevel="0" collapsed="false">
      <c r="G1509" s="25" t="n">
        <v>44464</v>
      </c>
      <c r="H1509" s="32" t="s">
        <v>15</v>
      </c>
      <c r="I1509" s="5" t="n">
        <v>-150</v>
      </c>
      <c r="J1509" s="10" t="s">
        <v>904</v>
      </c>
    </row>
    <row r="1510" customFormat="false" ht="12.8" hidden="false" customHeight="false" outlineLevel="0" collapsed="false">
      <c r="G1510" s="25" t="n">
        <v>44464</v>
      </c>
      <c r="H1510" s="26" t="s">
        <v>10</v>
      </c>
      <c r="I1510" s="5" t="n">
        <v>-73</v>
      </c>
      <c r="J1510" s="54" t="s">
        <v>38</v>
      </c>
    </row>
    <row r="1511" customFormat="false" ht="12.8" hidden="false" customHeight="false" outlineLevel="0" collapsed="false">
      <c r="G1511" s="25" t="n">
        <v>44464</v>
      </c>
      <c r="H1511" s="32" t="s">
        <v>15</v>
      </c>
      <c r="I1511" s="5" t="n">
        <v>73</v>
      </c>
      <c r="J1511" s="54" t="s">
        <v>38</v>
      </c>
    </row>
    <row r="1512" customFormat="false" ht="12.8" hidden="false" customHeight="false" outlineLevel="0" collapsed="false">
      <c r="G1512" s="25" t="n">
        <v>44464</v>
      </c>
      <c r="H1512" s="32" t="s">
        <v>15</v>
      </c>
      <c r="I1512" s="5" t="n">
        <v>-70.26</v>
      </c>
      <c r="J1512" s="54" t="s">
        <v>37</v>
      </c>
    </row>
    <row r="1513" customFormat="false" ht="12.8" hidden="false" customHeight="false" outlineLevel="0" collapsed="false">
      <c r="G1513" s="25" t="n">
        <v>44465</v>
      </c>
      <c r="H1513" s="26" t="s">
        <v>10</v>
      </c>
      <c r="I1513" s="5" t="n">
        <v>-70</v>
      </c>
      <c r="J1513" s="54" t="s">
        <v>38</v>
      </c>
    </row>
    <row r="1514" customFormat="false" ht="12.8" hidden="false" customHeight="false" outlineLevel="0" collapsed="false">
      <c r="G1514" s="25" t="n">
        <v>44465</v>
      </c>
      <c r="H1514" s="32" t="s">
        <v>15</v>
      </c>
      <c r="I1514" s="5" t="n">
        <v>70</v>
      </c>
      <c r="J1514" s="54" t="s">
        <v>38</v>
      </c>
    </row>
    <row r="1515" customFormat="false" ht="12.8" hidden="false" customHeight="false" outlineLevel="0" collapsed="false">
      <c r="G1515" s="25" t="n">
        <v>44465</v>
      </c>
      <c r="H1515" s="32" t="s">
        <v>15</v>
      </c>
      <c r="I1515" s="5" t="n">
        <v>-73.56</v>
      </c>
      <c r="J1515" s="54" t="s">
        <v>37</v>
      </c>
    </row>
    <row r="1516" customFormat="false" ht="12.8" hidden="false" customHeight="false" outlineLevel="0" collapsed="false">
      <c r="G1516" s="25" t="n">
        <v>44466</v>
      </c>
      <c r="H1516" s="26" t="s">
        <v>10</v>
      </c>
      <c r="I1516" s="5" t="n">
        <v>-73</v>
      </c>
      <c r="J1516" s="54" t="s">
        <v>38</v>
      </c>
    </row>
    <row r="1517" customFormat="false" ht="12.8" hidden="false" customHeight="false" outlineLevel="0" collapsed="false">
      <c r="G1517" s="25" t="n">
        <v>44466</v>
      </c>
      <c r="H1517" s="32" t="s">
        <v>15</v>
      </c>
      <c r="I1517" s="5" t="n">
        <v>73</v>
      </c>
      <c r="J1517" s="54" t="s">
        <v>38</v>
      </c>
    </row>
    <row r="1518" customFormat="false" ht="12.8" hidden="false" customHeight="false" outlineLevel="0" collapsed="false">
      <c r="G1518" s="25" t="n">
        <v>44466</v>
      </c>
      <c r="H1518" s="32" t="s">
        <v>15</v>
      </c>
      <c r="I1518" s="5" t="n">
        <v>-71.55</v>
      </c>
      <c r="J1518" s="54" t="s">
        <v>37</v>
      </c>
    </row>
    <row r="1519" customFormat="false" ht="12.8" hidden="false" customHeight="false" outlineLevel="0" collapsed="false">
      <c r="G1519" s="25" t="n">
        <v>44467</v>
      </c>
      <c r="H1519" s="26" t="s">
        <v>10</v>
      </c>
      <c r="I1519" s="5" t="n">
        <v>-82</v>
      </c>
      <c r="J1519" s="54" t="s">
        <v>38</v>
      </c>
    </row>
    <row r="1520" customFormat="false" ht="12.8" hidden="false" customHeight="false" outlineLevel="0" collapsed="false">
      <c r="G1520" s="25" t="n">
        <v>44467</v>
      </c>
      <c r="H1520" s="32" t="s">
        <v>15</v>
      </c>
      <c r="I1520" s="5" t="n">
        <v>82</v>
      </c>
      <c r="J1520" s="54" t="s">
        <v>38</v>
      </c>
    </row>
    <row r="1521" customFormat="false" ht="12.8" hidden="false" customHeight="false" outlineLevel="0" collapsed="false">
      <c r="G1521" s="25" t="n">
        <v>44467</v>
      </c>
      <c r="H1521" s="32" t="s">
        <v>15</v>
      </c>
      <c r="I1521" s="5" t="n">
        <v>-73.28</v>
      </c>
      <c r="J1521" s="54" t="s">
        <v>37</v>
      </c>
    </row>
    <row r="1522" customFormat="false" ht="12.8" hidden="false" customHeight="false" outlineLevel="0" collapsed="false">
      <c r="G1522" s="25" t="n">
        <v>44467</v>
      </c>
      <c r="H1522" s="52" t="s">
        <v>14</v>
      </c>
      <c r="I1522" s="5" t="n">
        <v>2.42</v>
      </c>
      <c r="J1522" s="10" t="s">
        <v>40</v>
      </c>
    </row>
    <row r="1523" customFormat="false" ht="12.8" hidden="false" customHeight="false" outlineLevel="0" collapsed="false">
      <c r="G1523" s="25" t="n">
        <v>44468</v>
      </c>
      <c r="H1523" s="26" t="s">
        <v>10</v>
      </c>
      <c r="I1523" s="5" t="n">
        <v>-43</v>
      </c>
      <c r="J1523" s="54" t="s">
        <v>38</v>
      </c>
    </row>
    <row r="1524" customFormat="false" ht="12.8" hidden="false" customHeight="false" outlineLevel="0" collapsed="false">
      <c r="G1524" s="25" t="n">
        <v>44468</v>
      </c>
      <c r="H1524" s="32" t="s">
        <v>15</v>
      </c>
      <c r="I1524" s="5" t="n">
        <v>43</v>
      </c>
      <c r="J1524" s="54" t="s">
        <v>38</v>
      </c>
    </row>
    <row r="1525" customFormat="false" ht="12.8" hidden="false" customHeight="false" outlineLevel="0" collapsed="false">
      <c r="G1525" s="25" t="n">
        <v>44468</v>
      </c>
      <c r="H1525" s="32" t="s">
        <v>15</v>
      </c>
      <c r="I1525" s="5" t="n">
        <v>-51.55</v>
      </c>
      <c r="J1525" s="54" t="s">
        <v>37</v>
      </c>
    </row>
    <row r="1526" customFormat="false" ht="12.8" hidden="false" customHeight="false" outlineLevel="0" collapsed="false">
      <c r="G1526" s="25" t="n">
        <v>44468</v>
      </c>
      <c r="H1526" s="52" t="s">
        <v>14</v>
      </c>
      <c r="I1526" s="5" t="n">
        <v>-20</v>
      </c>
      <c r="J1526" s="10" t="s">
        <v>946</v>
      </c>
    </row>
    <row r="1527" customFormat="false" ht="12.8" hidden="false" customHeight="false" outlineLevel="0" collapsed="false">
      <c r="G1527" s="25" t="n">
        <v>44468</v>
      </c>
      <c r="H1527" s="48" t="s">
        <v>26</v>
      </c>
      <c r="I1527" s="5" t="n">
        <v>20</v>
      </c>
      <c r="J1527" s="10" t="s">
        <v>946</v>
      </c>
    </row>
    <row r="1528" customFormat="false" ht="12.8" hidden="false" customHeight="false" outlineLevel="0" collapsed="false">
      <c r="G1528" s="25" t="n">
        <v>44469</v>
      </c>
      <c r="H1528" s="26" t="s">
        <v>10</v>
      </c>
      <c r="I1528" s="5" t="n">
        <v>-72</v>
      </c>
      <c r="J1528" s="54" t="s">
        <v>38</v>
      </c>
    </row>
    <row r="1529" customFormat="false" ht="12.8" hidden="false" customHeight="false" outlineLevel="0" collapsed="false">
      <c r="G1529" s="25" t="n">
        <v>44469</v>
      </c>
      <c r="H1529" s="32" t="s">
        <v>15</v>
      </c>
      <c r="I1529" s="5" t="n">
        <v>72</v>
      </c>
      <c r="J1529" s="54" t="s">
        <v>38</v>
      </c>
      <c r="K1529" s="10"/>
    </row>
    <row r="1530" customFormat="false" ht="12.8" hidden="false" customHeight="false" outlineLevel="0" collapsed="false">
      <c r="G1530" s="25" t="n">
        <v>44469</v>
      </c>
      <c r="H1530" s="32" t="s">
        <v>15</v>
      </c>
      <c r="I1530" s="5" t="n">
        <v>-69.57</v>
      </c>
      <c r="J1530" s="54" t="s">
        <v>37</v>
      </c>
      <c r="K1530" s="10"/>
    </row>
    <row r="1531" customFormat="false" ht="12.8" hidden="false" customHeight="false" outlineLevel="0" collapsed="false">
      <c r="G1531" s="25" t="n">
        <v>44469</v>
      </c>
      <c r="H1531" s="43" t="s">
        <v>23</v>
      </c>
      <c r="I1531" s="5" t="n">
        <v>240</v>
      </c>
      <c r="J1531" s="10" t="s">
        <v>944</v>
      </c>
      <c r="K1531" s="10"/>
    </row>
    <row r="1532" customFormat="false" ht="12.8" hidden="false" customHeight="false" outlineLevel="0" collapsed="false">
      <c r="G1532" s="25" t="n">
        <v>44469</v>
      </c>
      <c r="H1532" s="48" t="s">
        <v>26</v>
      </c>
      <c r="I1532" s="5" t="n">
        <v>-15</v>
      </c>
      <c r="J1532" s="10" t="s">
        <v>958</v>
      </c>
      <c r="K1532" s="10"/>
    </row>
    <row r="1533" customFormat="false" ht="12.8" hidden="false" customHeight="false" outlineLevel="0" collapsed="false">
      <c r="G1533" s="25" t="n">
        <v>44470</v>
      </c>
      <c r="H1533" s="52" t="s">
        <v>14</v>
      </c>
      <c r="I1533" s="5" t="n">
        <v>-3003</v>
      </c>
      <c r="J1533" s="10" t="s">
        <v>946</v>
      </c>
      <c r="K1533" s="10"/>
    </row>
    <row r="1534" customFormat="false" ht="12.8" hidden="false" customHeight="false" outlineLevel="0" collapsed="false">
      <c r="G1534" s="25" t="n">
        <v>44470</v>
      </c>
      <c r="H1534" s="48" t="s">
        <v>26</v>
      </c>
      <c r="I1534" s="5" t="n">
        <v>3003</v>
      </c>
      <c r="J1534" s="10" t="s">
        <v>946</v>
      </c>
      <c r="K1534" s="10"/>
    </row>
    <row r="1535" customFormat="false" ht="12.8" hidden="false" customHeight="false" outlineLevel="0" collapsed="false">
      <c r="G1535" s="25" t="n">
        <v>44470</v>
      </c>
      <c r="H1535" s="48" t="s">
        <v>26</v>
      </c>
      <c r="I1535" s="5" t="n">
        <v>-3000</v>
      </c>
      <c r="J1535" s="10" t="s">
        <v>146</v>
      </c>
      <c r="K1535" s="10"/>
    </row>
    <row r="1536" customFormat="false" ht="12.8" hidden="false" customHeight="false" outlineLevel="0" collapsed="false">
      <c r="G1536" s="25" t="n">
        <v>44470</v>
      </c>
      <c r="H1536" s="48" t="s">
        <v>26</v>
      </c>
      <c r="I1536" s="5" t="n">
        <v>-3</v>
      </c>
      <c r="J1536" s="10" t="s">
        <v>932</v>
      </c>
      <c r="K1536" s="10"/>
    </row>
    <row r="1537" customFormat="false" ht="12.8" hidden="false" customHeight="false" outlineLevel="0" collapsed="false">
      <c r="G1537" s="25" t="n">
        <v>44470</v>
      </c>
      <c r="H1537" s="32" t="s">
        <v>15</v>
      </c>
      <c r="I1537" s="5" t="n">
        <v>3000</v>
      </c>
      <c r="J1537" s="10" t="s">
        <v>146</v>
      </c>
      <c r="K1537" s="10"/>
    </row>
    <row r="1538" customFormat="false" ht="12.8" hidden="false" customHeight="false" outlineLevel="0" collapsed="false">
      <c r="G1538" s="25" t="n">
        <v>44470</v>
      </c>
      <c r="H1538" s="32" t="s">
        <v>15</v>
      </c>
      <c r="I1538" s="5" t="n">
        <v>-3000</v>
      </c>
      <c r="J1538" s="10" t="s">
        <v>959</v>
      </c>
      <c r="K1538" s="10"/>
    </row>
    <row r="1539" customFormat="false" ht="12.8" hidden="false" customHeight="false" outlineLevel="0" collapsed="false">
      <c r="G1539" s="25" t="n">
        <v>44470</v>
      </c>
      <c r="H1539" s="26" t="s">
        <v>10</v>
      </c>
      <c r="I1539" s="5" t="n">
        <v>3000</v>
      </c>
      <c r="J1539" s="10" t="s">
        <v>959</v>
      </c>
      <c r="K1539" s="10"/>
    </row>
    <row r="1540" customFormat="false" ht="12.8" hidden="false" customHeight="false" outlineLevel="0" collapsed="false">
      <c r="G1540" s="25" t="n">
        <v>44470</v>
      </c>
      <c r="H1540" s="26" t="s">
        <v>10</v>
      </c>
      <c r="I1540" s="5" t="n">
        <v>-50</v>
      </c>
      <c r="J1540" s="54" t="s">
        <v>38</v>
      </c>
      <c r="K1540" s="10"/>
    </row>
    <row r="1541" customFormat="false" ht="12.8" hidden="false" customHeight="false" outlineLevel="0" collapsed="false">
      <c r="G1541" s="25" t="n">
        <v>44470</v>
      </c>
      <c r="H1541" s="32" t="s">
        <v>15</v>
      </c>
      <c r="I1541" s="5" t="n">
        <v>50</v>
      </c>
      <c r="J1541" s="54" t="s">
        <v>38</v>
      </c>
      <c r="K1541" s="10"/>
    </row>
    <row r="1542" customFormat="false" ht="12.8" hidden="false" customHeight="false" outlineLevel="0" collapsed="false">
      <c r="G1542" s="25" t="n">
        <v>44470</v>
      </c>
      <c r="H1542" s="32" t="s">
        <v>15</v>
      </c>
      <c r="I1542" s="5" t="n">
        <v>-41.49</v>
      </c>
      <c r="J1542" s="54" t="s">
        <v>37</v>
      </c>
      <c r="K1542" s="10"/>
    </row>
    <row r="1543" customFormat="false" ht="12.8" hidden="false" customHeight="false" outlineLevel="0" collapsed="false">
      <c r="G1543" s="25" t="n">
        <v>44470</v>
      </c>
      <c r="H1543" s="32" t="s">
        <v>15</v>
      </c>
      <c r="I1543" s="5" t="n">
        <v>-10.41</v>
      </c>
      <c r="J1543" s="54" t="s">
        <v>37</v>
      </c>
      <c r="K1543" s="10"/>
    </row>
    <row r="1544" customFormat="false" ht="12.8" hidden="false" customHeight="false" outlineLevel="0" collapsed="false">
      <c r="G1544" s="25" t="n">
        <v>44470</v>
      </c>
      <c r="H1544" s="26" t="s">
        <v>10</v>
      </c>
      <c r="I1544" s="5" t="n">
        <v>0.25</v>
      </c>
      <c r="J1544" s="10" t="s">
        <v>945</v>
      </c>
      <c r="K1544" s="10"/>
    </row>
    <row r="1545" customFormat="false" ht="12.8" hidden="false" customHeight="false" outlineLevel="0" collapsed="false">
      <c r="G1545" s="25" t="n">
        <v>44471</v>
      </c>
      <c r="H1545" s="26" t="s">
        <v>10</v>
      </c>
      <c r="I1545" s="5" t="n">
        <v>-71</v>
      </c>
      <c r="J1545" s="54" t="s">
        <v>38</v>
      </c>
      <c r="K1545" s="10"/>
    </row>
    <row r="1546" customFormat="false" ht="12.8" hidden="false" customHeight="false" outlineLevel="0" collapsed="false">
      <c r="G1546" s="25" t="n">
        <v>44471</v>
      </c>
      <c r="H1546" s="32" t="s">
        <v>15</v>
      </c>
      <c r="I1546" s="5" t="n">
        <v>71</v>
      </c>
      <c r="J1546" s="54" t="s">
        <v>38</v>
      </c>
      <c r="K1546" s="10"/>
    </row>
    <row r="1547" customFormat="false" ht="12.8" hidden="false" customHeight="false" outlineLevel="0" collapsed="false">
      <c r="G1547" s="25" t="n">
        <v>44471</v>
      </c>
      <c r="H1547" s="32" t="s">
        <v>15</v>
      </c>
      <c r="I1547" s="5" t="n">
        <v>-72.28</v>
      </c>
      <c r="J1547" s="54" t="s">
        <v>37</v>
      </c>
      <c r="K1547" s="10"/>
    </row>
    <row r="1548" customFormat="false" ht="12.8" hidden="false" customHeight="false" outlineLevel="0" collapsed="false">
      <c r="G1548" s="25" t="n">
        <v>44472</v>
      </c>
      <c r="H1548" s="26" t="s">
        <v>10</v>
      </c>
      <c r="I1548" s="5" t="n">
        <v>-72.25</v>
      </c>
      <c r="J1548" s="54" t="s">
        <v>38</v>
      </c>
      <c r="K1548" s="10"/>
    </row>
    <row r="1549" customFormat="false" ht="12.8" hidden="false" customHeight="false" outlineLevel="0" collapsed="false">
      <c r="G1549" s="25" t="n">
        <v>44472</v>
      </c>
      <c r="H1549" s="32" t="s">
        <v>15</v>
      </c>
      <c r="I1549" s="5" t="n">
        <v>72.25</v>
      </c>
      <c r="J1549" s="54" t="s">
        <v>38</v>
      </c>
      <c r="K1549" s="10"/>
    </row>
    <row r="1550" customFormat="false" ht="12.8" hidden="false" customHeight="false" outlineLevel="0" collapsed="false">
      <c r="G1550" s="25" t="n">
        <v>44472</v>
      </c>
      <c r="H1550" s="32" t="s">
        <v>15</v>
      </c>
      <c r="I1550" s="5" t="n">
        <v>-72.66</v>
      </c>
      <c r="J1550" s="54" t="s">
        <v>37</v>
      </c>
      <c r="K1550" s="10"/>
      <c r="L1550" s="10"/>
    </row>
    <row r="1551" customFormat="false" ht="12.8" hidden="false" customHeight="false" outlineLevel="0" collapsed="false">
      <c r="G1551" s="25" t="n">
        <v>44472</v>
      </c>
      <c r="H1551" s="38" t="s">
        <v>21</v>
      </c>
      <c r="I1551" s="5" t="n">
        <v>-15</v>
      </c>
      <c r="J1551" s="10" t="s">
        <v>130</v>
      </c>
      <c r="K1551" s="10"/>
      <c r="L1551" s="10"/>
    </row>
    <row r="1552" customFormat="false" ht="12.8" hidden="false" customHeight="false" outlineLevel="0" collapsed="false">
      <c r="G1552" s="25" t="n">
        <v>44473</v>
      </c>
      <c r="H1552" s="26" t="s">
        <v>10</v>
      </c>
      <c r="I1552" s="5" t="n">
        <v>-800</v>
      </c>
      <c r="J1552" s="54" t="s">
        <v>38</v>
      </c>
      <c r="K1552" s="10"/>
      <c r="L1552" s="10"/>
    </row>
    <row r="1553" customFormat="false" ht="12.8" hidden="false" customHeight="false" outlineLevel="0" collapsed="false">
      <c r="G1553" s="25" t="n">
        <v>44473</v>
      </c>
      <c r="H1553" s="32" t="s">
        <v>15</v>
      </c>
      <c r="I1553" s="5" t="n">
        <v>800</v>
      </c>
      <c r="J1553" s="54" t="s">
        <v>38</v>
      </c>
      <c r="K1553" s="10"/>
      <c r="L1553" s="10"/>
    </row>
    <row r="1554" customFormat="false" ht="12.8" hidden="false" customHeight="false" outlineLevel="0" collapsed="false">
      <c r="G1554" s="25" t="n">
        <v>44473</v>
      </c>
      <c r="H1554" s="32" t="s">
        <v>15</v>
      </c>
      <c r="I1554" s="5" t="n">
        <v>-800</v>
      </c>
      <c r="J1554" s="54" t="s">
        <v>960</v>
      </c>
      <c r="K1554" s="10"/>
      <c r="L1554" s="10"/>
      <c r="M1554" s="0"/>
    </row>
    <row r="1555" customFormat="false" ht="12.8" hidden="false" customHeight="false" outlineLevel="0" collapsed="false">
      <c r="G1555" s="25" t="n">
        <v>44473</v>
      </c>
      <c r="H1555" s="48" t="s">
        <v>26</v>
      </c>
      <c r="I1555" s="5" t="n">
        <v>4426.92</v>
      </c>
      <c r="J1555" s="6" t="s">
        <v>961</v>
      </c>
      <c r="K1555" s="10"/>
      <c r="L1555" s="10"/>
    </row>
    <row r="1556" customFormat="false" ht="12.8" hidden="false" customHeight="false" outlineLevel="0" collapsed="false">
      <c r="G1556" s="25" t="n">
        <v>44473</v>
      </c>
      <c r="H1556" s="48" t="s">
        <v>26</v>
      </c>
      <c r="I1556" s="5" t="n">
        <v>-4420</v>
      </c>
      <c r="J1556" s="6" t="s">
        <v>56</v>
      </c>
      <c r="K1556" s="10"/>
      <c r="L1556" s="10"/>
    </row>
    <row r="1557" customFormat="false" ht="12.8" hidden="false" customHeight="false" outlineLevel="0" collapsed="false">
      <c r="G1557" s="25" t="n">
        <v>44473</v>
      </c>
      <c r="H1557" s="52" t="s">
        <v>14</v>
      </c>
      <c r="I1557" s="5" t="n">
        <v>4420</v>
      </c>
      <c r="J1557" s="462" t="s">
        <v>56</v>
      </c>
      <c r="K1557" s="10"/>
      <c r="L1557" s="10"/>
    </row>
    <row r="1558" customFormat="false" ht="12.8" hidden="false" customHeight="false" outlineLevel="0" collapsed="false">
      <c r="G1558" s="25" t="n">
        <v>44473</v>
      </c>
      <c r="H1558" s="43" t="s">
        <v>23</v>
      </c>
      <c r="I1558" s="5" t="n">
        <v>-63.09</v>
      </c>
      <c r="J1558" s="54" t="s">
        <v>37</v>
      </c>
      <c r="K1558" s="10"/>
    </row>
    <row r="1559" customFormat="false" ht="12.8" hidden="false" customHeight="false" outlineLevel="0" collapsed="false">
      <c r="G1559" s="25" t="n">
        <v>44474</v>
      </c>
      <c r="H1559" s="43" t="s">
        <v>23</v>
      </c>
      <c r="I1559" s="5" t="n">
        <v>-67.99</v>
      </c>
      <c r="J1559" s="54" t="s">
        <v>37</v>
      </c>
      <c r="K1559" s="10"/>
      <c r="L1559" s="10"/>
    </row>
    <row r="1560" customFormat="false" ht="12.8" hidden="false" customHeight="false" outlineLevel="0" collapsed="false">
      <c r="G1560" s="25" t="n">
        <v>44475</v>
      </c>
      <c r="H1560" s="43" t="s">
        <v>23</v>
      </c>
      <c r="I1560" s="5" t="n">
        <v>-71.27</v>
      </c>
      <c r="J1560" s="10" t="s">
        <v>37</v>
      </c>
      <c r="K1560" s="10"/>
      <c r="L1560" s="10"/>
    </row>
    <row r="1561" customFormat="false" ht="12.8" hidden="false" customHeight="false" outlineLevel="0" collapsed="false">
      <c r="G1561" s="25" t="n">
        <v>44475</v>
      </c>
      <c r="H1561" s="43" t="s">
        <v>23</v>
      </c>
      <c r="I1561" s="5" t="n">
        <v>-15</v>
      </c>
      <c r="J1561" s="10" t="s">
        <v>962</v>
      </c>
      <c r="K1561" s="10"/>
      <c r="L1561" s="10"/>
    </row>
    <row r="1562" customFormat="false" ht="12.8" hidden="false" customHeight="false" outlineLevel="0" collapsed="false">
      <c r="G1562" s="25" t="n">
        <v>44475</v>
      </c>
      <c r="H1562" s="38" t="s">
        <v>21</v>
      </c>
      <c r="I1562" s="5" t="n">
        <v>15</v>
      </c>
      <c r="J1562" s="10" t="s">
        <v>962</v>
      </c>
    </row>
    <row r="1563" customFormat="false" ht="12.8" hidden="false" customHeight="false" outlineLevel="0" collapsed="false">
      <c r="G1563" s="25" t="n">
        <v>44476</v>
      </c>
      <c r="H1563" s="26" t="s">
        <v>10</v>
      </c>
      <c r="I1563" s="5" t="n">
        <v>-72</v>
      </c>
      <c r="J1563" s="54" t="s">
        <v>38</v>
      </c>
    </row>
    <row r="1564" customFormat="false" ht="12.8" hidden="false" customHeight="false" outlineLevel="0" collapsed="false">
      <c r="G1564" s="25" t="n">
        <v>44476</v>
      </c>
      <c r="H1564" s="32" t="s">
        <v>15</v>
      </c>
      <c r="I1564" s="5" t="n">
        <v>72</v>
      </c>
      <c r="J1564" s="54" t="s">
        <v>38</v>
      </c>
      <c r="K1564" s="10"/>
    </row>
    <row r="1565" customFormat="false" ht="12.8" hidden="false" customHeight="false" outlineLevel="0" collapsed="false">
      <c r="G1565" s="25" t="n">
        <v>44476</v>
      </c>
      <c r="H1565" s="32" t="s">
        <v>15</v>
      </c>
      <c r="I1565" s="5" t="n">
        <v>-68.37</v>
      </c>
      <c r="J1565" s="10" t="s">
        <v>37</v>
      </c>
      <c r="K1565" s="54"/>
    </row>
    <row r="1566" customFormat="false" ht="12.8" hidden="false" customHeight="false" outlineLevel="0" collapsed="false">
      <c r="G1566" s="25" t="n">
        <v>44477</v>
      </c>
      <c r="H1566" s="26" t="s">
        <v>10</v>
      </c>
      <c r="I1566" s="5" t="n">
        <v>-68</v>
      </c>
      <c r="J1566" s="54" t="s">
        <v>38</v>
      </c>
      <c r="K1566" s="10"/>
    </row>
    <row r="1567" customFormat="false" ht="12.8" hidden="false" customHeight="false" outlineLevel="0" collapsed="false">
      <c r="G1567" s="25" t="n">
        <v>44477</v>
      </c>
      <c r="H1567" s="32" t="s">
        <v>15</v>
      </c>
      <c r="I1567" s="5" t="n">
        <v>68</v>
      </c>
      <c r="J1567" s="54" t="s">
        <v>38</v>
      </c>
      <c r="K1567" s="10"/>
    </row>
    <row r="1568" customFormat="false" ht="12.8" hidden="false" customHeight="false" outlineLevel="0" collapsed="false">
      <c r="G1568" s="25" t="n">
        <v>44476</v>
      </c>
      <c r="H1568" s="43" t="s">
        <v>23</v>
      </c>
      <c r="I1568" s="5" t="n">
        <v>-26</v>
      </c>
      <c r="J1568" s="54" t="s">
        <v>952</v>
      </c>
      <c r="K1568" s="10"/>
    </row>
    <row r="1569" customFormat="false" ht="12.8" hidden="false" customHeight="false" outlineLevel="0" collapsed="false">
      <c r="G1569" s="25" t="n">
        <v>44477</v>
      </c>
      <c r="H1569" s="32" t="s">
        <v>15</v>
      </c>
      <c r="I1569" s="5" t="n">
        <v>-54.42</v>
      </c>
      <c r="J1569" s="54" t="s">
        <v>37</v>
      </c>
      <c r="K1569" s="10"/>
    </row>
    <row r="1570" customFormat="false" ht="12.8" hidden="false" customHeight="false" outlineLevel="0" collapsed="false">
      <c r="G1570" s="25" t="n">
        <v>44477</v>
      </c>
      <c r="H1570" s="26" t="s">
        <v>10</v>
      </c>
      <c r="I1570" s="5" t="n">
        <v>-83</v>
      </c>
      <c r="J1570" s="54" t="s">
        <v>38</v>
      </c>
      <c r="K1570" s="10"/>
    </row>
    <row r="1571" customFormat="false" ht="12.8" hidden="false" customHeight="false" outlineLevel="0" collapsed="false">
      <c r="G1571" s="25" t="n">
        <v>44477</v>
      </c>
      <c r="H1571" s="32" t="s">
        <v>15</v>
      </c>
      <c r="I1571" s="5" t="n">
        <v>83</v>
      </c>
      <c r="J1571" s="54" t="s">
        <v>38</v>
      </c>
      <c r="K1571" s="10"/>
    </row>
    <row r="1572" customFormat="false" ht="12.8" hidden="false" customHeight="false" outlineLevel="0" collapsed="false">
      <c r="G1572" s="25" t="n">
        <v>44477</v>
      </c>
      <c r="H1572" s="32" t="s">
        <v>15</v>
      </c>
      <c r="I1572" s="5" t="n">
        <v>-100</v>
      </c>
      <c r="J1572" s="54" t="s">
        <v>868</v>
      </c>
      <c r="K1572" s="10"/>
    </row>
    <row r="1573" customFormat="false" ht="12.8" hidden="false" customHeight="false" outlineLevel="0" collapsed="false">
      <c r="G1573" s="25" t="n">
        <v>44478</v>
      </c>
      <c r="H1573" s="26" t="s">
        <v>10</v>
      </c>
      <c r="I1573" s="5" t="n">
        <v>-72</v>
      </c>
      <c r="J1573" s="54" t="s">
        <v>38</v>
      </c>
      <c r="K1573" s="467"/>
    </row>
    <row r="1574" customFormat="false" ht="12.8" hidden="false" customHeight="false" outlineLevel="0" collapsed="false">
      <c r="G1574" s="25" t="n">
        <v>44478</v>
      </c>
      <c r="H1574" s="32" t="s">
        <v>15</v>
      </c>
      <c r="I1574" s="5" t="n">
        <v>72</v>
      </c>
      <c r="J1574" s="54" t="s">
        <v>38</v>
      </c>
      <c r="K1574" s="467"/>
    </row>
    <row r="1575" customFormat="false" ht="12.8" hidden="false" customHeight="false" outlineLevel="0" collapsed="false">
      <c r="G1575" s="25" t="n">
        <v>44478</v>
      </c>
      <c r="H1575" s="32" t="s">
        <v>15</v>
      </c>
      <c r="I1575" s="5" t="n">
        <v>-71.79</v>
      </c>
      <c r="J1575" s="54" t="s">
        <v>37</v>
      </c>
      <c r="K1575" s="10"/>
    </row>
    <row r="1576" customFormat="false" ht="12.8" hidden="false" customHeight="false" outlineLevel="0" collapsed="false">
      <c r="G1576" s="25" t="n">
        <v>44479</v>
      </c>
      <c r="H1576" s="26" t="s">
        <v>10</v>
      </c>
      <c r="I1576" s="5" t="n">
        <v>-71</v>
      </c>
      <c r="J1576" s="54" t="s">
        <v>38</v>
      </c>
      <c r="K1576" s="10"/>
    </row>
    <row r="1577" customFormat="false" ht="12.8" hidden="false" customHeight="false" outlineLevel="0" collapsed="false">
      <c r="G1577" s="25" t="n">
        <v>44479</v>
      </c>
      <c r="H1577" s="32" t="s">
        <v>15</v>
      </c>
      <c r="I1577" s="5" t="n">
        <v>71</v>
      </c>
      <c r="J1577" s="54" t="s">
        <v>38</v>
      </c>
      <c r="K1577" s="10"/>
    </row>
    <row r="1578" customFormat="false" ht="12.8" hidden="false" customHeight="false" outlineLevel="0" collapsed="false">
      <c r="G1578" s="25" t="n">
        <v>44479</v>
      </c>
      <c r="H1578" s="32" t="s">
        <v>15</v>
      </c>
      <c r="I1578" s="5" t="n">
        <v>-68.73</v>
      </c>
      <c r="J1578" s="54" t="s">
        <v>37</v>
      </c>
      <c r="K1578" s="467"/>
    </row>
    <row r="1579" customFormat="false" ht="12.8" hidden="false" customHeight="false" outlineLevel="0" collapsed="false">
      <c r="G1579" s="25" t="n">
        <v>44480</v>
      </c>
      <c r="H1579" s="26" t="s">
        <v>10</v>
      </c>
      <c r="I1579" s="5" t="n">
        <v>-69</v>
      </c>
      <c r="J1579" s="54" t="s">
        <v>38</v>
      </c>
      <c r="K1579" s="467"/>
    </row>
    <row r="1580" customFormat="false" ht="12.8" hidden="false" customHeight="false" outlineLevel="0" collapsed="false">
      <c r="G1580" s="25" t="n">
        <v>44480</v>
      </c>
      <c r="H1580" s="32" t="s">
        <v>15</v>
      </c>
      <c r="I1580" s="5" t="n">
        <v>69</v>
      </c>
      <c r="J1580" s="54" t="s">
        <v>38</v>
      </c>
      <c r="K1580" s="10"/>
    </row>
    <row r="1581" customFormat="false" ht="12.8" hidden="false" customHeight="false" outlineLevel="0" collapsed="false">
      <c r="G1581" s="25" t="n">
        <v>44480</v>
      </c>
      <c r="H1581" s="32" t="s">
        <v>15</v>
      </c>
      <c r="I1581" s="5" t="n">
        <v>-56.38</v>
      </c>
      <c r="J1581" s="54" t="s">
        <v>37</v>
      </c>
    </row>
    <row r="1582" customFormat="false" ht="12.8" hidden="false" customHeight="false" outlineLevel="0" collapsed="false">
      <c r="G1582" s="25" t="n">
        <v>44481</v>
      </c>
      <c r="H1582" s="26" t="s">
        <v>10</v>
      </c>
      <c r="I1582" s="5" t="n">
        <v>-56</v>
      </c>
      <c r="J1582" s="54" t="s">
        <v>38</v>
      </c>
    </row>
    <row r="1583" customFormat="false" ht="12.8" hidden="false" customHeight="false" outlineLevel="0" collapsed="false">
      <c r="G1583" s="25" t="n">
        <v>44481</v>
      </c>
      <c r="H1583" s="32" t="s">
        <v>15</v>
      </c>
      <c r="I1583" s="5" t="n">
        <v>56</v>
      </c>
      <c r="J1583" s="54" t="s">
        <v>38</v>
      </c>
      <c r="K1583" s="10"/>
    </row>
    <row r="1584" customFormat="false" ht="12.8" hidden="false" customHeight="false" outlineLevel="0" collapsed="false">
      <c r="G1584" s="25" t="n">
        <v>44481</v>
      </c>
      <c r="H1584" s="32" t="s">
        <v>15</v>
      </c>
      <c r="I1584" s="5" t="n">
        <v>-71.23</v>
      </c>
      <c r="J1584" s="54" t="s">
        <v>37</v>
      </c>
    </row>
    <row r="1585" customFormat="false" ht="12.8" hidden="false" customHeight="false" outlineLevel="0" collapsed="false">
      <c r="G1585" s="25" t="n">
        <v>44482</v>
      </c>
      <c r="H1585" s="26" t="s">
        <v>10</v>
      </c>
      <c r="I1585" s="5" t="n">
        <v>-70</v>
      </c>
      <c r="J1585" s="54" t="s">
        <v>38</v>
      </c>
    </row>
    <row r="1586" customFormat="false" ht="12.8" hidden="false" customHeight="false" outlineLevel="0" collapsed="false">
      <c r="G1586" s="25" t="n">
        <v>44482</v>
      </c>
      <c r="H1586" s="32" t="s">
        <v>15</v>
      </c>
      <c r="I1586" s="5" t="n">
        <v>70</v>
      </c>
      <c r="J1586" s="54" t="s">
        <v>38</v>
      </c>
      <c r="K1586" s="10"/>
    </row>
    <row r="1587" customFormat="false" ht="12.8" hidden="false" customHeight="false" outlineLevel="0" collapsed="false">
      <c r="G1587" s="25" t="n">
        <v>44482</v>
      </c>
      <c r="H1587" s="32" t="s">
        <v>15</v>
      </c>
      <c r="I1587" s="5" t="n">
        <v>-69.67</v>
      </c>
      <c r="J1587" s="54" t="s">
        <v>37</v>
      </c>
    </row>
    <row r="1588" customFormat="false" ht="12.8" hidden="false" customHeight="false" outlineLevel="0" collapsed="false">
      <c r="G1588" s="25" t="n">
        <v>44483</v>
      </c>
      <c r="H1588" s="26" t="s">
        <v>10</v>
      </c>
      <c r="I1588" s="5" t="n">
        <v>-70</v>
      </c>
      <c r="J1588" s="54" t="s">
        <v>38</v>
      </c>
    </row>
    <row r="1589" customFormat="false" ht="12.8" hidden="false" customHeight="false" outlineLevel="0" collapsed="false">
      <c r="G1589" s="25" t="n">
        <v>44483</v>
      </c>
      <c r="H1589" s="32" t="s">
        <v>15</v>
      </c>
      <c r="I1589" s="5" t="n">
        <v>70</v>
      </c>
      <c r="J1589" s="54" t="s">
        <v>38</v>
      </c>
      <c r="K1589" s="10"/>
    </row>
    <row r="1590" customFormat="false" ht="12.8" hidden="false" customHeight="false" outlineLevel="0" collapsed="false">
      <c r="G1590" s="25" t="n">
        <v>44483</v>
      </c>
      <c r="H1590" s="32" t="s">
        <v>15</v>
      </c>
      <c r="I1590" s="5" t="n">
        <v>-67.19</v>
      </c>
      <c r="J1590" s="54" t="s">
        <v>37</v>
      </c>
      <c r="K1590" s="10"/>
    </row>
    <row r="1591" customFormat="false" ht="12.8" hidden="false" customHeight="false" outlineLevel="0" collapsed="false">
      <c r="G1591" s="25" t="n">
        <v>44484</v>
      </c>
      <c r="H1591" s="43" t="s">
        <v>23</v>
      </c>
      <c r="I1591" s="5" t="n">
        <v>1386</v>
      </c>
      <c r="J1591" s="54" t="s">
        <v>912</v>
      </c>
      <c r="K1591" s="10"/>
    </row>
    <row r="1592" customFormat="false" ht="12.8" hidden="false" customHeight="false" outlineLevel="0" collapsed="false">
      <c r="G1592" s="25" t="n">
        <v>44484</v>
      </c>
      <c r="H1592" s="43" t="s">
        <v>23</v>
      </c>
      <c r="I1592" s="5" t="n">
        <v>-5</v>
      </c>
      <c r="J1592" s="10" t="s">
        <v>953</v>
      </c>
    </row>
    <row r="1593" customFormat="false" ht="12.8" hidden="false" customHeight="false" outlineLevel="0" collapsed="false">
      <c r="G1593" s="25" t="n">
        <v>44484</v>
      </c>
      <c r="H1593" s="26" t="s">
        <v>10</v>
      </c>
      <c r="I1593" s="5" t="n">
        <v>-68</v>
      </c>
      <c r="J1593" s="54" t="s">
        <v>38</v>
      </c>
    </row>
    <row r="1594" customFormat="false" ht="12.8" hidden="false" customHeight="false" outlineLevel="0" collapsed="false">
      <c r="G1594" s="25" t="n">
        <v>44484</v>
      </c>
      <c r="H1594" s="32" t="s">
        <v>15</v>
      </c>
      <c r="I1594" s="5" t="n">
        <v>68</v>
      </c>
      <c r="J1594" s="54" t="s">
        <v>38</v>
      </c>
      <c r="K1594" s="10"/>
    </row>
    <row r="1595" customFormat="false" ht="12.8" hidden="false" customHeight="false" outlineLevel="0" collapsed="false">
      <c r="G1595" s="25" t="n">
        <v>44484</v>
      </c>
      <c r="H1595" s="32" t="s">
        <v>15</v>
      </c>
      <c r="I1595" s="5" t="n">
        <v>-71.78</v>
      </c>
      <c r="J1595" s="54" t="s">
        <v>37</v>
      </c>
      <c r="K1595" s="10"/>
      <c r="L1595" s="10"/>
    </row>
    <row r="1596" customFormat="false" ht="12.8" hidden="false" customHeight="false" outlineLevel="0" collapsed="false">
      <c r="G1596" s="25" t="n">
        <v>44485</v>
      </c>
      <c r="H1596" s="26" t="s">
        <v>10</v>
      </c>
      <c r="I1596" s="5" t="n">
        <v>-71</v>
      </c>
      <c r="J1596" s="54" t="s">
        <v>38</v>
      </c>
      <c r="K1596" s="10"/>
      <c r="L1596" s="10"/>
      <c r="M1596" s="0"/>
    </row>
    <row r="1597" customFormat="false" ht="12.8" hidden="false" customHeight="false" outlineLevel="0" collapsed="false">
      <c r="G1597" s="25" t="n">
        <v>44485</v>
      </c>
      <c r="H1597" s="32" t="s">
        <v>15</v>
      </c>
      <c r="I1597" s="5" t="n">
        <v>71</v>
      </c>
      <c r="J1597" s="54" t="s">
        <v>38</v>
      </c>
      <c r="K1597" s="10"/>
      <c r="M1597" s="0"/>
    </row>
    <row r="1598" customFormat="false" ht="12.8" hidden="false" customHeight="false" outlineLevel="0" collapsed="false">
      <c r="G1598" s="25" t="n">
        <v>44484</v>
      </c>
      <c r="H1598" s="43" t="s">
        <v>23</v>
      </c>
      <c r="I1598" s="5" t="n">
        <v>-760</v>
      </c>
      <c r="J1598" s="10" t="s">
        <v>44</v>
      </c>
    </row>
    <row r="1599" customFormat="false" ht="12.8" hidden="false" customHeight="false" outlineLevel="0" collapsed="false">
      <c r="G1599" s="25" t="n">
        <v>44484</v>
      </c>
      <c r="H1599" s="43" t="s">
        <v>23</v>
      </c>
      <c r="I1599" s="5" t="n">
        <v>500</v>
      </c>
      <c r="J1599" s="54" t="s">
        <v>963</v>
      </c>
      <c r="K1599" s="10"/>
    </row>
    <row r="1600" customFormat="false" ht="12.8" hidden="false" customHeight="false" outlineLevel="0" collapsed="false">
      <c r="G1600" s="25" t="n">
        <v>44485</v>
      </c>
      <c r="H1600" s="32" t="s">
        <v>15</v>
      </c>
      <c r="I1600" s="5" t="n">
        <v>-66.18</v>
      </c>
      <c r="J1600" s="54" t="s">
        <v>37</v>
      </c>
      <c r="K1600" s="10"/>
    </row>
    <row r="1601" customFormat="false" ht="12.8" hidden="false" customHeight="false" outlineLevel="0" collapsed="false">
      <c r="G1601" s="25" t="n">
        <v>44485</v>
      </c>
      <c r="H1601" s="43" t="s">
        <v>23</v>
      </c>
      <c r="I1601" s="5" t="n">
        <v>-65</v>
      </c>
      <c r="J1601" s="10" t="s">
        <v>844</v>
      </c>
      <c r="K1601" s="10"/>
    </row>
    <row r="1602" customFormat="false" ht="12.8" hidden="false" customHeight="false" outlineLevel="0" collapsed="false">
      <c r="G1602" s="25" t="n">
        <v>44486</v>
      </c>
      <c r="H1602" s="43" t="s">
        <v>23</v>
      </c>
      <c r="I1602" s="5" t="n">
        <v>-129.65</v>
      </c>
      <c r="J1602" s="10" t="s">
        <v>47</v>
      </c>
    </row>
    <row r="1603" customFormat="false" ht="12.8" hidden="false" customHeight="false" outlineLevel="0" collapsed="false">
      <c r="G1603" s="25" t="n">
        <v>44486</v>
      </c>
      <c r="H1603" s="26" t="s">
        <v>10</v>
      </c>
      <c r="I1603" s="5" t="n">
        <v>-67</v>
      </c>
      <c r="J1603" s="54" t="s">
        <v>38</v>
      </c>
    </row>
    <row r="1604" customFormat="false" ht="12.8" hidden="false" customHeight="false" outlineLevel="0" collapsed="false">
      <c r="G1604" s="25" t="n">
        <v>44486</v>
      </c>
      <c r="H1604" s="32" t="s">
        <v>15</v>
      </c>
      <c r="I1604" s="5" t="n">
        <v>67</v>
      </c>
      <c r="J1604" s="54" t="s">
        <v>38</v>
      </c>
      <c r="K1604" s="10"/>
    </row>
    <row r="1605" customFormat="false" ht="12.8" hidden="false" customHeight="false" outlineLevel="0" collapsed="false">
      <c r="G1605" s="25" t="n">
        <v>44486</v>
      </c>
      <c r="H1605" s="32" t="s">
        <v>15</v>
      </c>
      <c r="I1605" s="5" t="n">
        <v>-68.36</v>
      </c>
      <c r="J1605" s="54" t="s">
        <v>37</v>
      </c>
    </row>
    <row r="1606" customFormat="false" ht="12.8" hidden="false" customHeight="false" outlineLevel="0" collapsed="false">
      <c r="G1606" s="25" t="n">
        <v>44487</v>
      </c>
      <c r="H1606" s="26" t="s">
        <v>10</v>
      </c>
      <c r="I1606" s="5" t="n">
        <v>-68</v>
      </c>
      <c r="J1606" s="54" t="s">
        <v>38</v>
      </c>
    </row>
    <row r="1607" customFormat="false" ht="12.8" hidden="false" customHeight="false" outlineLevel="0" collapsed="false">
      <c r="G1607" s="25" t="n">
        <v>44487</v>
      </c>
      <c r="H1607" s="32" t="s">
        <v>15</v>
      </c>
      <c r="I1607" s="5" t="n">
        <v>68</v>
      </c>
      <c r="J1607" s="54" t="s">
        <v>38</v>
      </c>
      <c r="K1607" s="10"/>
    </row>
    <row r="1608" customFormat="false" ht="12.8" hidden="false" customHeight="false" outlineLevel="0" collapsed="false">
      <c r="G1608" s="25" t="n">
        <v>44487</v>
      </c>
      <c r="H1608" s="32" t="s">
        <v>15</v>
      </c>
      <c r="I1608" s="5" t="n">
        <v>-57.93</v>
      </c>
      <c r="J1608" s="54" t="s">
        <v>37</v>
      </c>
    </row>
    <row r="1609" customFormat="false" ht="12.8" hidden="false" customHeight="false" outlineLevel="0" collapsed="false">
      <c r="G1609" s="25" t="n">
        <v>44487</v>
      </c>
      <c r="H1609" s="43" t="s">
        <v>23</v>
      </c>
      <c r="I1609" s="5" t="n">
        <v>-389.13</v>
      </c>
      <c r="J1609" s="10" t="s">
        <v>843</v>
      </c>
      <c r="K1609" s="10"/>
    </row>
    <row r="1610" customFormat="false" ht="12.8" hidden="false" customHeight="false" outlineLevel="0" collapsed="false">
      <c r="G1610" s="25" t="n">
        <v>44488</v>
      </c>
      <c r="H1610" s="43" t="s">
        <v>23</v>
      </c>
      <c r="I1610" s="5" t="n">
        <v>-69.33</v>
      </c>
      <c r="J1610" s="10" t="s">
        <v>37</v>
      </c>
      <c r="K1610" s="10"/>
    </row>
    <row r="1611" customFormat="false" ht="12.8" hidden="false" customHeight="false" outlineLevel="0" collapsed="false">
      <c r="G1611" s="25" t="n">
        <v>44489</v>
      </c>
      <c r="H1611" s="43" t="s">
        <v>23</v>
      </c>
      <c r="I1611" s="5" t="n">
        <v>-66.11</v>
      </c>
      <c r="J1611" s="10" t="s">
        <v>37</v>
      </c>
      <c r="K1611" s="10"/>
    </row>
    <row r="1612" customFormat="false" ht="12.8" hidden="false" customHeight="false" outlineLevel="0" collapsed="false">
      <c r="G1612" s="25" t="n">
        <v>44490</v>
      </c>
      <c r="H1612" s="43" t="s">
        <v>23</v>
      </c>
      <c r="I1612" s="5" t="n">
        <v>-85.35</v>
      </c>
      <c r="J1612" s="10" t="s">
        <v>53</v>
      </c>
      <c r="K1612" s="10"/>
    </row>
    <row r="1613" customFormat="false" ht="12.8" hidden="false" customHeight="false" outlineLevel="0" collapsed="false">
      <c r="G1613" s="25" t="n">
        <v>44490</v>
      </c>
      <c r="H1613" s="43" t="s">
        <v>23</v>
      </c>
      <c r="I1613" s="5" t="n">
        <v>-71.72</v>
      </c>
      <c r="J1613" s="10" t="s">
        <v>37</v>
      </c>
      <c r="K1613" s="10"/>
    </row>
    <row r="1614" customFormat="false" ht="12.8" hidden="false" customHeight="false" outlineLevel="0" collapsed="false">
      <c r="G1614" s="25" t="n">
        <v>44491</v>
      </c>
      <c r="H1614" s="43" t="s">
        <v>23</v>
      </c>
      <c r="I1614" s="5" t="n">
        <v>-69.96</v>
      </c>
      <c r="J1614" s="10" t="s">
        <v>37</v>
      </c>
      <c r="K1614" s="10"/>
    </row>
    <row r="1615" customFormat="false" ht="12.8" hidden="false" customHeight="false" outlineLevel="0" collapsed="false">
      <c r="G1615" s="25" t="n">
        <v>44491</v>
      </c>
      <c r="H1615" s="43" t="s">
        <v>23</v>
      </c>
      <c r="I1615" s="5" t="n">
        <v>-40</v>
      </c>
      <c r="J1615" s="10" t="s">
        <v>941</v>
      </c>
      <c r="K1615" s="10"/>
    </row>
    <row r="1616" customFormat="false" ht="12.8" hidden="false" customHeight="false" outlineLevel="0" collapsed="false">
      <c r="G1616" s="25" t="n">
        <v>44492</v>
      </c>
      <c r="H1616" s="43" t="s">
        <v>23</v>
      </c>
      <c r="I1616" s="5" t="n">
        <v>-53.61</v>
      </c>
      <c r="J1616" s="10" t="s">
        <v>37</v>
      </c>
      <c r="K1616" s="54"/>
    </row>
    <row r="1617" customFormat="false" ht="12.8" hidden="false" customHeight="false" outlineLevel="0" collapsed="false">
      <c r="G1617" s="25" t="n">
        <v>44493</v>
      </c>
      <c r="H1617" s="26" t="s">
        <v>10</v>
      </c>
      <c r="I1617" s="5" t="n">
        <v>-137</v>
      </c>
      <c r="J1617" s="54" t="s">
        <v>898</v>
      </c>
    </row>
    <row r="1618" customFormat="false" ht="12.8" hidden="false" customHeight="false" outlineLevel="0" collapsed="false">
      <c r="G1618" s="25" t="n">
        <v>44493</v>
      </c>
      <c r="H1618" s="32" t="s">
        <v>15</v>
      </c>
      <c r="I1618" s="5" t="n">
        <v>137</v>
      </c>
      <c r="J1618" s="54" t="s">
        <v>898</v>
      </c>
      <c r="K1618" s="10"/>
    </row>
    <row r="1619" customFormat="false" ht="12.8" hidden="false" customHeight="false" outlineLevel="0" collapsed="false">
      <c r="G1619" s="25" t="n">
        <v>44493</v>
      </c>
      <c r="H1619" s="43" t="s">
        <v>23</v>
      </c>
      <c r="I1619" s="5" t="n">
        <v>-74.44</v>
      </c>
      <c r="J1619" s="10" t="s">
        <v>37</v>
      </c>
    </row>
    <row r="1620" customFormat="false" ht="12.8" hidden="false" customHeight="false" outlineLevel="0" collapsed="false">
      <c r="G1620" s="25" t="n">
        <v>44494</v>
      </c>
      <c r="H1620" s="32" t="s">
        <v>15</v>
      </c>
      <c r="I1620" s="5" t="n">
        <v>-150</v>
      </c>
      <c r="J1620" s="54" t="s">
        <v>964</v>
      </c>
      <c r="K1620" s="10"/>
    </row>
    <row r="1621" customFormat="false" ht="12.8" hidden="false" customHeight="false" outlineLevel="0" collapsed="false">
      <c r="G1621" s="25" t="n">
        <v>44494</v>
      </c>
      <c r="H1621" s="26" t="s">
        <v>10</v>
      </c>
      <c r="I1621" s="5" t="n">
        <v>-71</v>
      </c>
      <c r="J1621" s="54" t="s">
        <v>38</v>
      </c>
    </row>
    <row r="1622" customFormat="false" ht="12.8" hidden="false" customHeight="false" outlineLevel="0" collapsed="false">
      <c r="G1622" s="25" t="n">
        <v>44494</v>
      </c>
      <c r="H1622" s="32" t="s">
        <v>15</v>
      </c>
      <c r="I1622" s="5" t="n">
        <v>71</v>
      </c>
      <c r="J1622" s="54" t="s">
        <v>38</v>
      </c>
    </row>
    <row r="1623" customFormat="false" ht="12.8" hidden="false" customHeight="false" outlineLevel="0" collapsed="false">
      <c r="G1623" s="25" t="n">
        <v>44494</v>
      </c>
      <c r="H1623" s="32" t="s">
        <v>15</v>
      </c>
      <c r="I1623" s="5" t="n">
        <v>-69.89</v>
      </c>
      <c r="J1623" s="54" t="s">
        <v>37</v>
      </c>
    </row>
    <row r="1624" customFormat="false" ht="12.8" hidden="false" customHeight="false" outlineLevel="0" collapsed="false">
      <c r="G1624" s="25" t="n">
        <v>44495</v>
      </c>
      <c r="H1624" s="52" t="s">
        <v>14</v>
      </c>
      <c r="I1624" s="5" t="n">
        <v>-50</v>
      </c>
      <c r="J1624" s="10" t="s">
        <v>38</v>
      </c>
    </row>
    <row r="1625" customFormat="false" ht="12.8" hidden="false" customHeight="false" outlineLevel="0" collapsed="false">
      <c r="G1625" s="25" t="n">
        <v>44495</v>
      </c>
      <c r="H1625" s="48" t="s">
        <v>26</v>
      </c>
      <c r="I1625" s="5" t="n">
        <v>50</v>
      </c>
      <c r="J1625" s="10" t="s">
        <v>38</v>
      </c>
    </row>
    <row r="1626" customFormat="false" ht="12.8" hidden="false" customHeight="false" outlineLevel="0" collapsed="false">
      <c r="G1626" s="25" t="n">
        <v>44495</v>
      </c>
      <c r="H1626" s="48" t="s">
        <v>26</v>
      </c>
      <c r="I1626" s="5" t="n">
        <v>-50</v>
      </c>
      <c r="J1626" s="10" t="s">
        <v>952</v>
      </c>
    </row>
    <row r="1627" customFormat="false" ht="12.8" hidden="false" customHeight="false" outlineLevel="0" collapsed="false">
      <c r="G1627" s="25" t="n">
        <v>44495</v>
      </c>
      <c r="H1627" s="52" t="s">
        <v>14</v>
      </c>
      <c r="I1627" s="5" t="n">
        <v>3.24</v>
      </c>
      <c r="J1627" s="10" t="s">
        <v>40</v>
      </c>
    </row>
    <row r="1628" customFormat="false" ht="12.8" hidden="false" customHeight="false" outlineLevel="0" collapsed="false">
      <c r="G1628" s="25" t="n">
        <v>44495</v>
      </c>
      <c r="H1628" s="26" t="s">
        <v>10</v>
      </c>
      <c r="I1628" s="5" t="n">
        <v>-70</v>
      </c>
      <c r="J1628" s="54" t="s">
        <v>38</v>
      </c>
      <c r="K1628" s="10"/>
    </row>
    <row r="1629" customFormat="false" ht="12.8" hidden="false" customHeight="false" outlineLevel="0" collapsed="false">
      <c r="G1629" s="25" t="n">
        <v>44495</v>
      </c>
      <c r="H1629" s="32" t="s">
        <v>15</v>
      </c>
      <c r="I1629" s="5" t="n">
        <v>70</v>
      </c>
      <c r="J1629" s="54" t="s">
        <v>38</v>
      </c>
    </row>
    <row r="1630" customFormat="false" ht="12.8" hidden="false" customHeight="false" outlineLevel="0" collapsed="false">
      <c r="G1630" s="25" t="n">
        <v>44495</v>
      </c>
      <c r="H1630" s="32" t="s">
        <v>15</v>
      </c>
      <c r="I1630" s="5" t="n">
        <v>-69.76</v>
      </c>
      <c r="J1630" s="54" t="s">
        <v>37</v>
      </c>
    </row>
    <row r="1631" customFormat="false" ht="12.8" hidden="false" customHeight="false" outlineLevel="0" collapsed="false">
      <c r="G1631" s="25" t="n">
        <v>44496</v>
      </c>
      <c r="H1631" s="26" t="s">
        <v>10</v>
      </c>
      <c r="I1631" s="5" t="n">
        <v>-69</v>
      </c>
      <c r="J1631" s="54" t="s">
        <v>38</v>
      </c>
    </row>
    <row r="1632" customFormat="false" ht="12.8" hidden="false" customHeight="false" outlineLevel="0" collapsed="false">
      <c r="G1632" s="25" t="n">
        <v>44496</v>
      </c>
      <c r="H1632" s="32" t="s">
        <v>15</v>
      </c>
      <c r="I1632" s="5" t="n">
        <v>69</v>
      </c>
      <c r="J1632" s="54" t="s">
        <v>38</v>
      </c>
      <c r="K1632" s="10"/>
    </row>
    <row r="1633" customFormat="false" ht="12.8" hidden="false" customHeight="false" outlineLevel="0" collapsed="false">
      <c r="G1633" s="25" t="n">
        <v>44496</v>
      </c>
      <c r="H1633" s="32" t="s">
        <v>15</v>
      </c>
      <c r="I1633" s="5" t="n">
        <v>-50.36</v>
      </c>
      <c r="J1633" s="54" t="s">
        <v>37</v>
      </c>
      <c r="K1633" s="10"/>
    </row>
    <row r="1634" customFormat="false" ht="12.8" hidden="false" customHeight="false" outlineLevel="0" collapsed="false">
      <c r="G1634" s="25" t="n">
        <v>44497</v>
      </c>
      <c r="H1634" s="26" t="s">
        <v>10</v>
      </c>
      <c r="I1634" s="5" t="n">
        <v>-51</v>
      </c>
      <c r="J1634" s="54" t="s">
        <v>38</v>
      </c>
    </row>
    <row r="1635" customFormat="false" ht="12.8" hidden="false" customHeight="false" outlineLevel="0" collapsed="false">
      <c r="G1635" s="25" t="n">
        <v>44497</v>
      </c>
      <c r="H1635" s="32" t="s">
        <v>15</v>
      </c>
      <c r="I1635" s="5" t="n">
        <v>51</v>
      </c>
      <c r="J1635" s="54" t="s">
        <v>38</v>
      </c>
      <c r="K1635" s="10"/>
    </row>
    <row r="1636" customFormat="false" ht="12.8" hidden="false" customHeight="false" outlineLevel="0" collapsed="false">
      <c r="G1636" s="25" t="n">
        <v>44497</v>
      </c>
      <c r="H1636" s="26" t="s">
        <v>10</v>
      </c>
      <c r="I1636" s="5" t="n">
        <v>-129</v>
      </c>
      <c r="J1636" s="54" t="s">
        <v>38</v>
      </c>
      <c r="K1636" s="10"/>
    </row>
    <row r="1637" customFormat="false" ht="12.8" hidden="false" customHeight="false" outlineLevel="0" collapsed="false">
      <c r="G1637" s="25" t="n">
        <v>44497</v>
      </c>
      <c r="H1637" s="32" t="s">
        <v>15</v>
      </c>
      <c r="I1637" s="5" t="n">
        <v>129</v>
      </c>
      <c r="J1637" s="54" t="s">
        <v>38</v>
      </c>
      <c r="K1637" s="10"/>
    </row>
    <row r="1638" customFormat="false" ht="12.8" hidden="false" customHeight="false" outlineLevel="0" collapsed="false">
      <c r="G1638" s="25" t="n">
        <v>44497</v>
      </c>
      <c r="H1638" s="32" t="s">
        <v>15</v>
      </c>
      <c r="I1638" s="5" t="n">
        <v>-200</v>
      </c>
      <c r="J1638" s="54" t="s">
        <v>868</v>
      </c>
    </row>
    <row r="1639" customFormat="false" ht="12.8" hidden="false" customHeight="false" outlineLevel="0" collapsed="false">
      <c r="G1639" s="25" t="n">
        <v>44498</v>
      </c>
      <c r="H1639" s="26" t="s">
        <v>10</v>
      </c>
      <c r="I1639" s="5" t="n">
        <v>-71</v>
      </c>
      <c r="J1639" s="54" t="s">
        <v>38</v>
      </c>
    </row>
    <row r="1640" customFormat="false" ht="12.8" hidden="false" customHeight="false" outlineLevel="0" collapsed="false">
      <c r="G1640" s="25" t="n">
        <v>44498</v>
      </c>
      <c r="H1640" s="32" t="s">
        <v>15</v>
      </c>
      <c r="I1640" s="5" t="n">
        <v>71</v>
      </c>
      <c r="J1640" s="54" t="s">
        <v>38</v>
      </c>
      <c r="K1640" s="10"/>
    </row>
    <row r="1641" customFormat="false" ht="12.8" hidden="false" customHeight="false" outlineLevel="0" collapsed="false">
      <c r="G1641" s="25" t="n">
        <v>44498</v>
      </c>
      <c r="H1641" s="32" t="s">
        <v>15</v>
      </c>
      <c r="I1641" s="5" t="n">
        <v>-68.09</v>
      </c>
      <c r="J1641" s="54" t="s">
        <v>37</v>
      </c>
      <c r="K1641" s="10"/>
    </row>
    <row r="1642" customFormat="false" ht="12.8" hidden="false" customHeight="false" outlineLevel="0" collapsed="false">
      <c r="G1642" s="25" t="n">
        <v>44498</v>
      </c>
      <c r="H1642" s="43" t="s">
        <v>23</v>
      </c>
      <c r="I1642" s="5" t="n">
        <v>250</v>
      </c>
      <c r="J1642" s="10" t="s">
        <v>965</v>
      </c>
      <c r="K1642" s="10"/>
    </row>
    <row r="1643" customFormat="false" ht="12.8" hidden="false" customHeight="false" outlineLevel="0" collapsed="false">
      <c r="G1643" s="25" t="n">
        <v>44498</v>
      </c>
      <c r="H1643" s="43" t="s">
        <v>23</v>
      </c>
      <c r="I1643" s="5" t="n">
        <v>-5</v>
      </c>
      <c r="J1643" s="10" t="s">
        <v>966</v>
      </c>
      <c r="K1643" s="10"/>
    </row>
    <row r="1644" customFormat="false" ht="12.8" hidden="false" customHeight="false" outlineLevel="0" collapsed="false">
      <c r="G1644" s="25" t="n">
        <v>44499</v>
      </c>
      <c r="H1644" s="43" t="s">
        <v>23</v>
      </c>
      <c r="I1644" s="5" t="n">
        <v>-86.92</v>
      </c>
      <c r="J1644" s="10" t="s">
        <v>37</v>
      </c>
      <c r="K1644" s="10"/>
    </row>
    <row r="1645" customFormat="false" ht="12.8" hidden="false" customHeight="false" outlineLevel="0" collapsed="false">
      <c r="G1645" s="25" t="n">
        <v>44500</v>
      </c>
      <c r="H1645" s="43" t="s">
        <v>23</v>
      </c>
      <c r="I1645" s="5" t="n">
        <v>-71.08</v>
      </c>
      <c r="J1645" s="10" t="s">
        <v>37</v>
      </c>
    </row>
    <row r="1646" customFormat="false" ht="12.8" hidden="false" customHeight="false" outlineLevel="0" collapsed="false">
      <c r="G1646" s="25" t="n">
        <v>44500</v>
      </c>
      <c r="H1646" s="43" t="s">
        <v>23</v>
      </c>
      <c r="I1646" s="5" t="n">
        <v>-5</v>
      </c>
      <c r="J1646" s="10" t="s">
        <v>846</v>
      </c>
      <c r="K1646" s="10"/>
    </row>
    <row r="1647" customFormat="false" ht="12.8" hidden="false" customHeight="false" outlineLevel="0" collapsed="false">
      <c r="G1647" s="25" t="n">
        <v>44500</v>
      </c>
      <c r="H1647" s="52" t="s">
        <v>14</v>
      </c>
      <c r="I1647" s="5" t="n">
        <v>-40</v>
      </c>
      <c r="J1647" s="6" t="s">
        <v>967</v>
      </c>
      <c r="K1647" s="10"/>
    </row>
    <row r="1648" customFormat="false" ht="12.8" hidden="false" customHeight="false" outlineLevel="0" collapsed="false">
      <c r="G1648" s="25" t="n">
        <v>44500</v>
      </c>
      <c r="H1648" s="48" t="s">
        <v>26</v>
      </c>
      <c r="I1648" s="5" t="n">
        <v>40</v>
      </c>
      <c r="J1648" s="6" t="s">
        <v>967</v>
      </c>
      <c r="K1648" s="10"/>
    </row>
    <row r="1649" customFormat="false" ht="12.8" hidden="false" customHeight="false" outlineLevel="0" collapsed="false">
      <c r="G1649" s="25" t="n">
        <v>44500</v>
      </c>
      <c r="H1649" s="48" t="s">
        <v>26</v>
      </c>
      <c r="I1649" s="5" t="n">
        <v>-40</v>
      </c>
      <c r="J1649" s="10" t="s">
        <v>941</v>
      </c>
      <c r="K1649" s="10"/>
    </row>
    <row r="1650" customFormat="false" ht="12.8" hidden="false" customHeight="false" outlineLevel="0" collapsed="false">
      <c r="G1650" s="25" t="n">
        <v>44501</v>
      </c>
      <c r="H1650" s="48" t="s">
        <v>26</v>
      </c>
      <c r="I1650" s="5" t="n">
        <v>-5</v>
      </c>
      <c r="J1650" s="10" t="s">
        <v>881</v>
      </c>
    </row>
    <row r="1651" customFormat="false" ht="12.8" hidden="false" customHeight="false" outlineLevel="0" collapsed="false">
      <c r="G1651" s="25" t="n">
        <v>44501</v>
      </c>
      <c r="H1651" s="52" t="s">
        <v>14</v>
      </c>
      <c r="I1651" s="5" t="n">
        <v>-2003</v>
      </c>
      <c r="J1651" s="10" t="s">
        <v>968</v>
      </c>
    </row>
    <row r="1652" customFormat="false" ht="12.8" hidden="false" customHeight="false" outlineLevel="0" collapsed="false">
      <c r="G1652" s="25" t="n">
        <v>44501</v>
      </c>
      <c r="H1652" s="48" t="s">
        <v>26</v>
      </c>
      <c r="I1652" s="5" t="n">
        <v>2003</v>
      </c>
      <c r="J1652" s="6" t="s">
        <v>969</v>
      </c>
    </row>
    <row r="1653" customFormat="false" ht="12.8" hidden="false" customHeight="false" outlineLevel="0" collapsed="false">
      <c r="G1653" s="25" t="n">
        <v>44501</v>
      </c>
      <c r="H1653" s="48" t="s">
        <v>26</v>
      </c>
      <c r="I1653" s="5" t="n">
        <v>-2000</v>
      </c>
      <c r="J1653" s="6" t="s">
        <v>970</v>
      </c>
    </row>
    <row r="1654" customFormat="false" ht="12.8" hidden="false" customHeight="false" outlineLevel="0" collapsed="false">
      <c r="G1654" s="25" t="n">
        <v>44501</v>
      </c>
      <c r="H1654" s="48" t="s">
        <v>26</v>
      </c>
      <c r="I1654" s="5" t="n">
        <v>-3</v>
      </c>
      <c r="J1654" s="6" t="s">
        <v>887</v>
      </c>
    </row>
    <row r="1655" customFormat="false" ht="12.8" hidden="false" customHeight="false" outlineLevel="0" collapsed="false">
      <c r="G1655" s="25" t="n">
        <v>44501</v>
      </c>
      <c r="H1655" s="32" t="s">
        <v>15</v>
      </c>
      <c r="I1655" s="5" t="n">
        <v>2000</v>
      </c>
      <c r="J1655" s="6" t="s">
        <v>146</v>
      </c>
      <c r="K1655" s="10"/>
    </row>
    <row r="1656" customFormat="false" ht="12.8" hidden="false" customHeight="false" outlineLevel="0" collapsed="false">
      <c r="G1656" s="25" t="n">
        <v>44501</v>
      </c>
      <c r="H1656" s="43" t="s">
        <v>23</v>
      </c>
      <c r="I1656" s="5" t="n">
        <v>-87.9</v>
      </c>
      <c r="J1656" s="10" t="s">
        <v>37</v>
      </c>
      <c r="K1656" s="10"/>
    </row>
    <row r="1657" customFormat="false" ht="12.8" hidden="false" customHeight="false" outlineLevel="0" collapsed="false">
      <c r="G1657" s="25" t="n">
        <v>44501</v>
      </c>
      <c r="H1657" s="32" t="s">
        <v>15</v>
      </c>
      <c r="I1657" s="5" t="n">
        <v>-2000</v>
      </c>
      <c r="J1657" s="10" t="s">
        <v>971</v>
      </c>
      <c r="K1657" s="10"/>
      <c r="L1657" s="10"/>
    </row>
    <row r="1658" customFormat="false" ht="12.8" hidden="false" customHeight="false" outlineLevel="0" collapsed="false">
      <c r="G1658" s="25" t="n">
        <v>44501</v>
      </c>
      <c r="H1658" s="26" t="s">
        <v>10</v>
      </c>
      <c r="I1658" s="5" t="n">
        <v>2000</v>
      </c>
      <c r="J1658" s="10" t="s">
        <v>971</v>
      </c>
      <c r="K1658" s="10"/>
      <c r="L1658" s="10"/>
    </row>
    <row r="1659" customFormat="false" ht="12.8" hidden="false" customHeight="false" outlineLevel="0" collapsed="false">
      <c r="G1659" s="25" t="n">
        <v>44502</v>
      </c>
      <c r="H1659" s="48" t="s">
        <v>26</v>
      </c>
      <c r="I1659" s="5" t="n">
        <v>-10</v>
      </c>
      <c r="J1659" s="10" t="s">
        <v>82</v>
      </c>
      <c r="K1659" s="10"/>
      <c r="L1659" s="10"/>
    </row>
    <row r="1660" customFormat="false" ht="12.8" hidden="false" customHeight="false" outlineLevel="0" collapsed="false">
      <c r="G1660" s="25" t="n">
        <v>44502</v>
      </c>
      <c r="H1660" s="48" t="s">
        <v>26</v>
      </c>
      <c r="I1660" s="5" t="n">
        <v>4005.66</v>
      </c>
      <c r="J1660" s="10" t="s">
        <v>972</v>
      </c>
      <c r="K1660" s="54"/>
      <c r="L1660" s="10"/>
    </row>
    <row r="1661" customFormat="false" ht="12.8" hidden="false" customHeight="false" outlineLevel="0" collapsed="false">
      <c r="G1661" s="25" t="n">
        <v>44502</v>
      </c>
      <c r="H1661" s="48" t="s">
        <v>26</v>
      </c>
      <c r="I1661" s="5" t="n">
        <v>-4006</v>
      </c>
      <c r="J1661" s="10" t="s">
        <v>949</v>
      </c>
      <c r="K1661" s="54"/>
      <c r="L1661" s="10"/>
    </row>
    <row r="1662" customFormat="false" ht="12.8" hidden="false" customHeight="false" outlineLevel="0" collapsed="false">
      <c r="F1662" s="0"/>
      <c r="G1662" s="25" t="n">
        <v>44502</v>
      </c>
      <c r="H1662" s="52" t="s">
        <v>14</v>
      </c>
      <c r="I1662" s="5" t="n">
        <v>4006</v>
      </c>
      <c r="J1662" s="6" t="s">
        <v>973</v>
      </c>
      <c r="K1662" s="54"/>
      <c r="L1662" s="10"/>
    </row>
    <row r="1663" customFormat="false" ht="12.8" hidden="false" customHeight="false" outlineLevel="0" collapsed="false">
      <c r="F1663" s="0"/>
      <c r="G1663" s="25" t="n">
        <v>44502</v>
      </c>
      <c r="H1663" s="52" t="s">
        <v>14</v>
      </c>
      <c r="I1663" s="5" t="n">
        <v>1.01</v>
      </c>
      <c r="J1663" s="10" t="s">
        <v>40</v>
      </c>
      <c r="K1663" s="54"/>
      <c r="L1663" s="10"/>
    </row>
    <row r="1664" customFormat="false" ht="12.8" hidden="false" customHeight="false" outlineLevel="0" collapsed="false">
      <c r="F1664" s="0"/>
      <c r="G1664" s="25" t="n">
        <v>44502</v>
      </c>
      <c r="H1664" s="26" t="s">
        <v>10</v>
      </c>
      <c r="I1664" s="5" t="n">
        <v>0.45</v>
      </c>
      <c r="J1664" s="10" t="s">
        <v>945</v>
      </c>
      <c r="K1664" s="10"/>
      <c r="L1664" s="10"/>
    </row>
    <row r="1665" customFormat="false" ht="12.8" hidden="false" customHeight="false" outlineLevel="0" collapsed="false">
      <c r="G1665" s="25" t="n">
        <v>44502</v>
      </c>
      <c r="H1665" s="26" t="s">
        <v>10</v>
      </c>
      <c r="I1665" s="5" t="n">
        <v>-568</v>
      </c>
      <c r="J1665" s="54" t="s">
        <v>38</v>
      </c>
      <c r="K1665" s="10"/>
      <c r="L1665" s="10"/>
    </row>
    <row r="1666" customFormat="false" ht="12.8" hidden="false" customHeight="false" outlineLevel="0" collapsed="false">
      <c r="G1666" s="25" t="n">
        <v>44502</v>
      </c>
      <c r="H1666" s="38" t="s">
        <v>21</v>
      </c>
      <c r="I1666" s="5" t="n">
        <v>-15</v>
      </c>
      <c r="J1666" s="10" t="s">
        <v>846</v>
      </c>
      <c r="K1666" s="10"/>
      <c r="L1666" s="10"/>
    </row>
    <row r="1667" customFormat="false" ht="12.8" hidden="false" customHeight="false" outlineLevel="0" collapsed="false">
      <c r="G1667" s="25" t="n">
        <v>44502</v>
      </c>
      <c r="H1667" s="32" t="s">
        <v>15</v>
      </c>
      <c r="I1667" s="5" t="n">
        <v>568</v>
      </c>
      <c r="J1667" s="54" t="s">
        <v>38</v>
      </c>
      <c r="K1667" s="10"/>
    </row>
    <row r="1668" customFormat="false" ht="12.8" hidden="false" customHeight="false" outlineLevel="0" collapsed="false">
      <c r="G1668" s="25" t="n">
        <v>44502</v>
      </c>
      <c r="H1668" s="32" t="s">
        <v>15</v>
      </c>
      <c r="I1668" s="5" t="n">
        <v>-500</v>
      </c>
      <c r="J1668" s="10" t="s">
        <v>974</v>
      </c>
      <c r="K1668" s="10"/>
    </row>
    <row r="1669" customFormat="false" ht="12.8" hidden="false" customHeight="false" outlineLevel="0" collapsed="false">
      <c r="G1669" s="25" t="n">
        <v>44502</v>
      </c>
      <c r="H1669" s="32" t="s">
        <v>15</v>
      </c>
      <c r="I1669" s="5" t="n">
        <v>-70.53</v>
      </c>
      <c r="J1669" s="54" t="s">
        <v>37</v>
      </c>
      <c r="K1669" s="10"/>
    </row>
    <row r="1670" customFormat="false" ht="12.8" hidden="false" customHeight="false" outlineLevel="0" collapsed="false">
      <c r="G1670" s="25" t="n">
        <v>44503</v>
      </c>
      <c r="H1670" s="52" t="s">
        <v>14</v>
      </c>
      <c r="I1670" s="5" t="n">
        <v>-5000</v>
      </c>
      <c r="J1670" s="10" t="s">
        <v>975</v>
      </c>
      <c r="K1670" s="10"/>
    </row>
    <row r="1671" customFormat="false" ht="12.8" hidden="false" customHeight="false" outlineLevel="0" collapsed="false">
      <c r="G1671" s="25" t="n">
        <v>44503</v>
      </c>
      <c r="H1671" s="26" t="s">
        <v>10</v>
      </c>
      <c r="I1671" s="5" t="n">
        <v>-70.45</v>
      </c>
      <c r="J1671" s="54" t="s">
        <v>38</v>
      </c>
      <c r="K1671" s="10"/>
    </row>
    <row r="1672" customFormat="false" ht="12.8" hidden="false" customHeight="false" outlineLevel="0" collapsed="false">
      <c r="G1672" s="25" t="n">
        <v>44503</v>
      </c>
      <c r="H1672" s="32" t="s">
        <v>15</v>
      </c>
      <c r="I1672" s="5" t="n">
        <v>70.45</v>
      </c>
      <c r="J1672" s="54" t="s">
        <v>38</v>
      </c>
      <c r="K1672" s="10"/>
    </row>
    <row r="1673" customFormat="false" ht="12.8" hidden="false" customHeight="false" outlineLevel="0" collapsed="false">
      <c r="G1673" s="25" t="n">
        <v>44503</v>
      </c>
      <c r="H1673" s="32" t="s">
        <v>15</v>
      </c>
      <c r="I1673" s="5" t="n">
        <v>-68.78</v>
      </c>
      <c r="J1673" s="54" t="s">
        <v>37</v>
      </c>
      <c r="L1673" s="10"/>
    </row>
    <row r="1674" customFormat="false" ht="12.8" hidden="false" customHeight="false" outlineLevel="0" collapsed="false">
      <c r="G1674" s="25" t="n">
        <v>44504</v>
      </c>
      <c r="H1674" s="26" t="s">
        <v>10</v>
      </c>
      <c r="I1674" s="5" t="n">
        <v>-69</v>
      </c>
      <c r="J1674" s="54" t="s">
        <v>38</v>
      </c>
    </row>
    <row r="1675" customFormat="false" ht="12.8" hidden="false" customHeight="false" outlineLevel="0" collapsed="false">
      <c r="G1675" s="25" t="n">
        <v>44504</v>
      </c>
      <c r="H1675" s="32" t="s">
        <v>15</v>
      </c>
      <c r="I1675" s="5" t="n">
        <v>69</v>
      </c>
      <c r="J1675" s="54" t="s">
        <v>38</v>
      </c>
      <c r="K1675" s="10"/>
    </row>
    <row r="1676" customFormat="false" ht="12.8" hidden="false" customHeight="false" outlineLevel="0" collapsed="false">
      <c r="G1676" s="25" t="n">
        <v>44504</v>
      </c>
      <c r="H1676" s="32" t="s">
        <v>15</v>
      </c>
      <c r="I1676" s="5" t="n">
        <v>-68.94</v>
      </c>
      <c r="J1676" s="54" t="s">
        <v>37</v>
      </c>
    </row>
    <row r="1677" customFormat="false" ht="12.8" hidden="false" customHeight="false" outlineLevel="0" collapsed="false">
      <c r="G1677" s="25" t="n">
        <v>44505</v>
      </c>
      <c r="H1677" s="26" t="s">
        <v>10</v>
      </c>
      <c r="I1677" s="5" t="n">
        <v>-69</v>
      </c>
      <c r="J1677" s="54" t="s">
        <v>38</v>
      </c>
      <c r="K1677" s="10"/>
    </row>
    <row r="1678" customFormat="false" ht="12.8" hidden="false" customHeight="false" outlineLevel="0" collapsed="false">
      <c r="G1678" s="25" t="n">
        <v>44505</v>
      </c>
      <c r="H1678" s="32" t="s">
        <v>15</v>
      </c>
      <c r="I1678" s="5" t="n">
        <v>69</v>
      </c>
      <c r="J1678" s="54" t="s">
        <v>38</v>
      </c>
      <c r="K1678" s="10"/>
    </row>
    <row r="1679" customFormat="false" ht="12.8" hidden="false" customHeight="false" outlineLevel="0" collapsed="false">
      <c r="G1679" s="25" t="n">
        <v>44505</v>
      </c>
      <c r="H1679" s="52" t="s">
        <v>14</v>
      </c>
      <c r="I1679" s="5" t="n">
        <v>-50</v>
      </c>
      <c r="J1679" s="10" t="s">
        <v>976</v>
      </c>
      <c r="K1679" s="10"/>
    </row>
    <row r="1680" customFormat="false" ht="12.8" hidden="false" customHeight="false" outlineLevel="0" collapsed="false">
      <c r="G1680" s="25" t="n">
        <v>44505</v>
      </c>
      <c r="H1680" s="48" t="s">
        <v>26</v>
      </c>
      <c r="I1680" s="5" t="n">
        <v>50</v>
      </c>
      <c r="J1680" s="10" t="s">
        <v>976</v>
      </c>
      <c r="K1680" s="10"/>
    </row>
    <row r="1681" customFormat="false" ht="12.8" hidden="false" customHeight="false" outlineLevel="0" collapsed="false">
      <c r="G1681" s="25" t="n">
        <v>44505</v>
      </c>
      <c r="H1681" s="48" t="s">
        <v>26</v>
      </c>
      <c r="I1681" s="5" t="n">
        <v>-50</v>
      </c>
      <c r="J1681" s="10" t="s">
        <v>935</v>
      </c>
      <c r="K1681" s="10"/>
    </row>
    <row r="1682" customFormat="false" ht="12.8" hidden="false" customHeight="false" outlineLevel="0" collapsed="false">
      <c r="G1682" s="25" t="n">
        <v>44505</v>
      </c>
      <c r="H1682" s="32" t="s">
        <v>15</v>
      </c>
      <c r="I1682" s="5" t="n">
        <v>-69.84</v>
      </c>
      <c r="J1682" s="54" t="s">
        <v>37</v>
      </c>
      <c r="K1682" s="10"/>
    </row>
    <row r="1683" customFormat="false" ht="12.8" hidden="false" customHeight="false" outlineLevel="0" collapsed="false">
      <c r="G1683" s="25" t="n">
        <v>44506</v>
      </c>
      <c r="H1683" s="26" t="s">
        <v>10</v>
      </c>
      <c r="I1683" s="5" t="n">
        <v>-69</v>
      </c>
      <c r="J1683" s="54" t="s">
        <v>38</v>
      </c>
    </row>
    <row r="1684" customFormat="false" ht="12.8" hidden="false" customHeight="false" outlineLevel="0" collapsed="false">
      <c r="G1684" s="25" t="n">
        <v>44506</v>
      </c>
      <c r="H1684" s="32" t="s">
        <v>15</v>
      </c>
      <c r="I1684" s="5" t="n">
        <v>69</v>
      </c>
      <c r="J1684" s="54" t="s">
        <v>38</v>
      </c>
      <c r="K1684" s="10"/>
    </row>
    <row r="1685" customFormat="false" ht="12.8" hidden="false" customHeight="false" outlineLevel="0" collapsed="false">
      <c r="G1685" s="25" t="n">
        <v>44506</v>
      </c>
      <c r="H1685" s="32" t="s">
        <v>15</v>
      </c>
      <c r="I1685" s="5" t="n">
        <v>-67.19</v>
      </c>
      <c r="J1685" s="54" t="s">
        <v>37</v>
      </c>
    </row>
    <row r="1686" customFormat="false" ht="12.8" hidden="false" customHeight="false" outlineLevel="0" collapsed="false">
      <c r="G1686" s="25" t="n">
        <v>44507</v>
      </c>
      <c r="H1686" s="26" t="s">
        <v>10</v>
      </c>
      <c r="I1686" s="5" t="n">
        <v>-68</v>
      </c>
      <c r="J1686" s="54" t="s">
        <v>38</v>
      </c>
      <c r="K1686" s="10"/>
    </row>
    <row r="1687" customFormat="false" ht="12.8" hidden="false" customHeight="false" outlineLevel="0" collapsed="false">
      <c r="G1687" s="25" t="n">
        <v>44507</v>
      </c>
      <c r="H1687" s="32" t="s">
        <v>15</v>
      </c>
      <c r="I1687" s="5" t="n">
        <v>68</v>
      </c>
      <c r="J1687" s="54" t="s">
        <v>38</v>
      </c>
      <c r="K1687" s="10"/>
    </row>
    <row r="1688" customFormat="false" ht="12.8" hidden="false" customHeight="false" outlineLevel="0" collapsed="false">
      <c r="G1688" s="25" t="n">
        <v>44507</v>
      </c>
      <c r="H1688" s="32" t="s">
        <v>15</v>
      </c>
      <c r="I1688" s="5" t="n">
        <v>-71.14</v>
      </c>
      <c r="J1688" s="54" t="s">
        <v>37</v>
      </c>
      <c r="K1688" s="10"/>
    </row>
    <row r="1689" customFormat="false" ht="12.8" hidden="false" customHeight="false" outlineLevel="0" collapsed="false">
      <c r="G1689" s="25" t="n">
        <v>44508</v>
      </c>
      <c r="H1689" s="26" t="s">
        <v>10</v>
      </c>
      <c r="I1689" s="5" t="n">
        <v>-60</v>
      </c>
      <c r="J1689" s="54" t="s">
        <v>38</v>
      </c>
      <c r="K1689" s="10"/>
    </row>
    <row r="1690" customFormat="false" ht="12.8" hidden="false" customHeight="false" outlineLevel="0" collapsed="false">
      <c r="G1690" s="25" t="n">
        <v>44508</v>
      </c>
      <c r="H1690" s="32" t="s">
        <v>15</v>
      </c>
      <c r="I1690" s="5" t="n">
        <v>60</v>
      </c>
      <c r="J1690" s="54" t="s">
        <v>38</v>
      </c>
      <c r="K1690" s="10"/>
    </row>
    <row r="1691" customFormat="false" ht="12.8" hidden="false" customHeight="false" outlineLevel="0" collapsed="false">
      <c r="G1691" s="25" t="n">
        <v>44508</v>
      </c>
      <c r="H1691" s="32" t="s">
        <v>15</v>
      </c>
      <c r="I1691" s="5" t="n">
        <v>-59.66</v>
      </c>
      <c r="J1691" s="54" t="s">
        <v>37</v>
      </c>
    </row>
    <row r="1692" customFormat="false" ht="12.8" hidden="false" customHeight="false" outlineLevel="0" collapsed="false">
      <c r="G1692" s="25" t="n">
        <v>44509</v>
      </c>
      <c r="H1692" s="26" t="s">
        <v>10</v>
      </c>
      <c r="I1692" s="5" t="n">
        <v>-71</v>
      </c>
      <c r="J1692" s="54" t="s">
        <v>38</v>
      </c>
    </row>
    <row r="1693" customFormat="false" ht="12.8" hidden="false" customHeight="false" outlineLevel="0" collapsed="false">
      <c r="G1693" s="25" t="n">
        <v>44509</v>
      </c>
      <c r="H1693" s="32" t="s">
        <v>15</v>
      </c>
      <c r="I1693" s="5" t="n">
        <v>71</v>
      </c>
      <c r="J1693" s="54" t="s">
        <v>38</v>
      </c>
      <c r="K1693" s="10"/>
    </row>
    <row r="1694" customFormat="false" ht="12.8" hidden="false" customHeight="false" outlineLevel="0" collapsed="false">
      <c r="G1694" s="25" t="n">
        <v>44509</v>
      </c>
      <c r="H1694" s="32" t="s">
        <v>15</v>
      </c>
      <c r="I1694" s="5" t="n">
        <v>-68.76</v>
      </c>
      <c r="J1694" s="54" t="s">
        <v>37</v>
      </c>
    </row>
    <row r="1695" customFormat="false" ht="12.8" hidden="false" customHeight="false" outlineLevel="0" collapsed="false">
      <c r="G1695" s="25" t="n">
        <v>44510</v>
      </c>
      <c r="H1695" s="26" t="s">
        <v>10</v>
      </c>
      <c r="I1695" s="5" t="n">
        <v>-68</v>
      </c>
      <c r="J1695" s="54" t="s">
        <v>38</v>
      </c>
    </row>
    <row r="1696" customFormat="false" ht="12.8" hidden="false" customHeight="false" outlineLevel="0" collapsed="false">
      <c r="G1696" s="25" t="n">
        <v>44510</v>
      </c>
      <c r="H1696" s="32" t="s">
        <v>15</v>
      </c>
      <c r="I1696" s="5" t="n">
        <v>68</v>
      </c>
      <c r="J1696" s="54" t="s">
        <v>38</v>
      </c>
      <c r="K1696" s="10"/>
    </row>
    <row r="1697" customFormat="false" ht="12.8" hidden="false" customHeight="false" outlineLevel="0" collapsed="false">
      <c r="G1697" s="25" t="n">
        <v>44510</v>
      </c>
      <c r="H1697" s="32" t="s">
        <v>15</v>
      </c>
      <c r="I1697" s="5" t="n">
        <v>-70.14</v>
      </c>
      <c r="J1697" s="54" t="s">
        <v>37</v>
      </c>
      <c r="K1697" s="10"/>
    </row>
    <row r="1698" customFormat="false" ht="12.8" hidden="false" customHeight="false" outlineLevel="0" collapsed="false">
      <c r="G1698" s="25" t="n">
        <v>44511</v>
      </c>
      <c r="H1698" s="26" t="s">
        <v>10</v>
      </c>
      <c r="I1698" s="5" t="n">
        <v>-70</v>
      </c>
      <c r="J1698" s="54" t="s">
        <v>38</v>
      </c>
    </row>
    <row r="1699" customFormat="false" ht="12.8" hidden="false" customHeight="false" outlineLevel="0" collapsed="false">
      <c r="G1699" s="25" t="n">
        <v>44511</v>
      </c>
      <c r="H1699" s="32" t="s">
        <v>15</v>
      </c>
      <c r="I1699" s="5" t="n">
        <v>70</v>
      </c>
      <c r="J1699" s="54" t="s">
        <v>38</v>
      </c>
      <c r="K1699" s="10"/>
    </row>
    <row r="1700" customFormat="false" ht="12.8" hidden="false" customHeight="false" outlineLevel="0" collapsed="false">
      <c r="G1700" s="25" t="n">
        <v>44511</v>
      </c>
      <c r="H1700" s="32" t="s">
        <v>15</v>
      </c>
      <c r="I1700" s="5" t="n">
        <v>-68.79</v>
      </c>
      <c r="J1700" s="54" t="s">
        <v>37</v>
      </c>
      <c r="K1700" s="10"/>
    </row>
    <row r="1701" customFormat="false" ht="12.8" hidden="false" customHeight="false" outlineLevel="0" collapsed="false">
      <c r="G1701" s="25" t="n">
        <v>44512</v>
      </c>
      <c r="H1701" s="26" t="s">
        <v>10</v>
      </c>
      <c r="I1701" s="5" t="n">
        <v>-68</v>
      </c>
      <c r="J1701" s="54" t="s">
        <v>38</v>
      </c>
    </row>
    <row r="1702" customFormat="false" ht="12.8" hidden="false" customHeight="false" outlineLevel="0" collapsed="false">
      <c r="G1702" s="25" t="n">
        <v>44512</v>
      </c>
      <c r="H1702" s="32" t="s">
        <v>15</v>
      </c>
      <c r="I1702" s="5" t="n">
        <v>68</v>
      </c>
      <c r="J1702" s="54" t="s">
        <v>38</v>
      </c>
      <c r="K1702" s="10"/>
    </row>
    <row r="1703" customFormat="false" ht="12.8" hidden="false" customHeight="false" outlineLevel="0" collapsed="false">
      <c r="G1703" s="25" t="n">
        <v>44512</v>
      </c>
      <c r="H1703" s="32" t="s">
        <v>15</v>
      </c>
      <c r="I1703" s="5" t="n">
        <v>-70.24</v>
      </c>
      <c r="J1703" s="54" t="s">
        <v>37</v>
      </c>
      <c r="K1703" s="10"/>
    </row>
    <row r="1704" customFormat="false" ht="12.8" hidden="false" customHeight="false" outlineLevel="0" collapsed="false">
      <c r="G1704" s="25" t="n">
        <v>44512</v>
      </c>
      <c r="H1704" s="43" t="s">
        <v>23</v>
      </c>
      <c r="I1704" s="5" t="n">
        <v>1386</v>
      </c>
      <c r="J1704" s="54" t="s">
        <v>912</v>
      </c>
    </row>
    <row r="1705" customFormat="false" ht="12.8" hidden="false" customHeight="false" outlineLevel="0" collapsed="false">
      <c r="G1705" s="25" t="n">
        <v>44512</v>
      </c>
      <c r="H1705" s="43" t="s">
        <v>23</v>
      </c>
      <c r="I1705" s="5" t="n">
        <v>-5</v>
      </c>
      <c r="J1705" s="10" t="s">
        <v>953</v>
      </c>
      <c r="K1705" s="10"/>
    </row>
    <row r="1706" customFormat="false" ht="12.8" hidden="false" customHeight="false" outlineLevel="0" collapsed="false">
      <c r="G1706" s="25" t="n">
        <v>44512</v>
      </c>
      <c r="H1706" s="43" t="s">
        <v>23</v>
      </c>
      <c r="I1706" s="5" t="n">
        <v>-15</v>
      </c>
      <c r="J1706" s="10" t="s">
        <v>954</v>
      </c>
      <c r="K1706" s="10"/>
    </row>
    <row r="1707" customFormat="false" ht="12.8" hidden="false" customHeight="false" outlineLevel="0" collapsed="false">
      <c r="G1707" s="25" t="n">
        <v>44512</v>
      </c>
      <c r="H1707" s="38" t="s">
        <v>21</v>
      </c>
      <c r="I1707" s="5" t="n">
        <v>15</v>
      </c>
      <c r="J1707" s="10" t="s">
        <v>954</v>
      </c>
    </row>
    <row r="1708" customFormat="false" ht="12.8" hidden="false" customHeight="false" outlineLevel="0" collapsed="false">
      <c r="G1708" s="25" t="n">
        <v>44513</v>
      </c>
      <c r="H1708" s="26" t="s">
        <v>10</v>
      </c>
      <c r="I1708" s="5" t="n">
        <v>-71</v>
      </c>
      <c r="J1708" s="54" t="s">
        <v>38</v>
      </c>
    </row>
    <row r="1709" customFormat="false" ht="12.8" hidden="false" customHeight="false" outlineLevel="0" collapsed="false">
      <c r="G1709" s="25" t="n">
        <v>44513</v>
      </c>
      <c r="H1709" s="32" t="s">
        <v>15</v>
      </c>
      <c r="I1709" s="5" t="n">
        <v>71</v>
      </c>
      <c r="J1709" s="54" t="s">
        <v>38</v>
      </c>
    </row>
    <row r="1710" customFormat="false" ht="12.8" hidden="false" customHeight="false" outlineLevel="0" collapsed="false">
      <c r="G1710" s="25" t="n">
        <v>44513</v>
      </c>
      <c r="H1710" s="52" t="s">
        <v>14</v>
      </c>
      <c r="I1710" s="5" t="n">
        <v>-100</v>
      </c>
      <c r="J1710" s="10" t="s">
        <v>727</v>
      </c>
    </row>
    <row r="1711" customFormat="false" ht="12.8" hidden="false" customHeight="false" outlineLevel="0" collapsed="false">
      <c r="G1711" s="25" t="n">
        <v>44513</v>
      </c>
      <c r="H1711" s="48" t="s">
        <v>26</v>
      </c>
      <c r="I1711" s="5" t="n">
        <v>100</v>
      </c>
      <c r="J1711" s="10" t="s">
        <v>727</v>
      </c>
      <c r="K1711" s="10"/>
    </row>
    <row r="1712" customFormat="false" ht="12.8" hidden="false" customHeight="false" outlineLevel="0" collapsed="false">
      <c r="G1712" s="25" t="n">
        <v>44513</v>
      </c>
      <c r="H1712" s="52" t="s">
        <v>14</v>
      </c>
      <c r="I1712" s="5" t="n">
        <v>0.96</v>
      </c>
      <c r="J1712" s="10" t="s">
        <v>40</v>
      </c>
      <c r="K1712" s="10"/>
    </row>
    <row r="1713" customFormat="false" ht="12.8" hidden="false" customHeight="false" outlineLevel="0" collapsed="false">
      <c r="G1713" s="25" t="n">
        <v>44513</v>
      </c>
      <c r="H1713" s="32" t="s">
        <v>15</v>
      </c>
      <c r="I1713" s="5" t="n">
        <v>-67.98</v>
      </c>
      <c r="J1713" s="54" t="s">
        <v>37</v>
      </c>
      <c r="K1713" s="10"/>
    </row>
    <row r="1714" customFormat="false" ht="12.8" hidden="false" customHeight="false" outlineLevel="0" collapsed="false">
      <c r="G1714" s="25" t="n">
        <v>44514</v>
      </c>
      <c r="H1714" s="26" t="s">
        <v>10</v>
      </c>
      <c r="I1714" s="5" t="n">
        <v>-68</v>
      </c>
      <c r="J1714" s="54" t="s">
        <v>38</v>
      </c>
    </row>
    <row r="1715" customFormat="false" ht="12.8" hidden="false" customHeight="false" outlineLevel="0" collapsed="false">
      <c r="G1715" s="25" t="n">
        <v>44514</v>
      </c>
      <c r="H1715" s="32" t="s">
        <v>15</v>
      </c>
      <c r="I1715" s="5" t="n">
        <v>68</v>
      </c>
      <c r="J1715" s="54" t="s">
        <v>38</v>
      </c>
    </row>
    <row r="1716" customFormat="false" ht="12.8" hidden="false" customHeight="false" outlineLevel="0" collapsed="false">
      <c r="G1716" s="25" t="n">
        <v>44514</v>
      </c>
      <c r="H1716" s="32" t="s">
        <v>15</v>
      </c>
      <c r="I1716" s="5" t="n">
        <v>-49.89</v>
      </c>
      <c r="J1716" s="54" t="s">
        <v>37</v>
      </c>
      <c r="K1716" s="10"/>
    </row>
    <row r="1717" customFormat="false" ht="12.8" hidden="false" customHeight="false" outlineLevel="0" collapsed="false">
      <c r="G1717" s="25" t="n">
        <v>44514</v>
      </c>
      <c r="H1717" s="26" t="s">
        <v>10</v>
      </c>
      <c r="I1717" s="5" t="n">
        <v>-1</v>
      </c>
      <c r="J1717" s="54" t="s">
        <v>38</v>
      </c>
      <c r="K1717" s="10"/>
    </row>
    <row r="1718" customFormat="false" ht="12.8" hidden="false" customHeight="false" outlineLevel="0" collapsed="false">
      <c r="G1718" s="25" t="n">
        <v>44514</v>
      </c>
      <c r="H1718" s="32" t="s">
        <v>15</v>
      </c>
      <c r="I1718" s="5" t="n">
        <v>1</v>
      </c>
      <c r="J1718" s="54" t="s">
        <v>38</v>
      </c>
      <c r="K1718" s="10"/>
    </row>
    <row r="1719" customFormat="false" ht="12.8" hidden="false" customHeight="false" outlineLevel="0" collapsed="false">
      <c r="G1719" s="25" t="n">
        <v>44514</v>
      </c>
      <c r="H1719" s="32" t="s">
        <v>15</v>
      </c>
      <c r="I1719" s="5" t="n">
        <v>-22</v>
      </c>
      <c r="J1719" s="54" t="s">
        <v>37</v>
      </c>
      <c r="K1719" s="10"/>
    </row>
    <row r="1720" customFormat="false" ht="12.8" hidden="false" customHeight="false" outlineLevel="0" collapsed="false">
      <c r="G1720" s="25" t="n">
        <v>44515</v>
      </c>
      <c r="H1720" s="26" t="s">
        <v>10</v>
      </c>
      <c r="I1720" s="5" t="n">
        <v>-72</v>
      </c>
      <c r="J1720" s="54" t="s">
        <v>38</v>
      </c>
    </row>
    <row r="1721" customFormat="false" ht="12.8" hidden="false" customHeight="false" outlineLevel="0" collapsed="false">
      <c r="G1721" s="25" t="n">
        <v>44515</v>
      </c>
      <c r="H1721" s="32" t="s">
        <v>15</v>
      </c>
      <c r="I1721" s="5" t="n">
        <v>72</v>
      </c>
      <c r="J1721" s="54" t="s">
        <v>38</v>
      </c>
      <c r="K1721" s="10"/>
    </row>
    <row r="1722" customFormat="false" ht="12.8" hidden="false" customHeight="false" outlineLevel="0" collapsed="false">
      <c r="G1722" s="25" t="n">
        <v>44515</v>
      </c>
      <c r="H1722" s="43" t="s">
        <v>23</v>
      </c>
      <c r="I1722" s="5" t="n">
        <v>-750</v>
      </c>
      <c r="J1722" s="10" t="s">
        <v>44</v>
      </c>
      <c r="K1722" s="10"/>
    </row>
    <row r="1723" customFormat="false" ht="12.8" hidden="false" customHeight="false" outlineLevel="0" collapsed="false">
      <c r="G1723" s="25" t="n">
        <v>44515</v>
      </c>
      <c r="H1723" s="32" t="s">
        <v>15</v>
      </c>
      <c r="I1723" s="5" t="n">
        <v>-67.19</v>
      </c>
      <c r="J1723" s="54" t="s">
        <v>37</v>
      </c>
      <c r="K1723" s="10"/>
    </row>
    <row r="1724" customFormat="false" ht="12.8" hidden="false" customHeight="false" outlineLevel="0" collapsed="false">
      <c r="G1724" s="25" t="n">
        <v>44516</v>
      </c>
      <c r="H1724" s="26" t="s">
        <v>10</v>
      </c>
      <c r="I1724" s="5" t="n">
        <v>-68</v>
      </c>
      <c r="J1724" s="54" t="s">
        <v>38</v>
      </c>
    </row>
    <row r="1725" customFormat="false" ht="12.8" hidden="false" customHeight="false" outlineLevel="0" collapsed="false">
      <c r="G1725" s="25" t="n">
        <v>44516</v>
      </c>
      <c r="H1725" s="32" t="s">
        <v>15</v>
      </c>
      <c r="I1725" s="5" t="n">
        <v>68</v>
      </c>
      <c r="J1725" s="54" t="s">
        <v>38</v>
      </c>
      <c r="K1725" s="10"/>
    </row>
    <row r="1726" customFormat="false" ht="12.8" hidden="false" customHeight="false" outlineLevel="0" collapsed="false">
      <c r="G1726" s="25" t="n">
        <v>44516</v>
      </c>
      <c r="H1726" s="32" t="s">
        <v>15</v>
      </c>
      <c r="I1726" s="5" t="n">
        <v>-57.55</v>
      </c>
      <c r="J1726" s="54" t="s">
        <v>37</v>
      </c>
      <c r="K1726" s="10"/>
    </row>
    <row r="1727" customFormat="false" ht="12.8" hidden="false" customHeight="false" outlineLevel="0" collapsed="false">
      <c r="G1727" s="25" t="n">
        <v>44517</v>
      </c>
      <c r="H1727" s="26" t="s">
        <v>10</v>
      </c>
      <c r="I1727" s="5" t="n">
        <v>-57</v>
      </c>
      <c r="J1727" s="54" t="s">
        <v>38</v>
      </c>
      <c r="K1727" s="10"/>
    </row>
    <row r="1728" customFormat="false" ht="12.8" hidden="false" customHeight="false" outlineLevel="0" collapsed="false">
      <c r="G1728" s="25" t="n">
        <v>44517</v>
      </c>
      <c r="H1728" s="32" t="s">
        <v>15</v>
      </c>
      <c r="I1728" s="5" t="n">
        <v>57</v>
      </c>
      <c r="J1728" s="54" t="s">
        <v>38</v>
      </c>
      <c r="K1728" s="10"/>
    </row>
    <row r="1729" customFormat="false" ht="12.8" hidden="false" customHeight="false" outlineLevel="0" collapsed="false">
      <c r="G1729" s="25" t="n">
        <v>44517</v>
      </c>
      <c r="H1729" s="43" t="s">
        <v>23</v>
      </c>
      <c r="I1729" s="5" t="n">
        <v>500</v>
      </c>
      <c r="J1729" s="54" t="s">
        <v>912</v>
      </c>
      <c r="K1729" s="10"/>
    </row>
    <row r="1730" customFormat="false" ht="12.8" hidden="false" customHeight="false" outlineLevel="0" collapsed="false">
      <c r="G1730" s="25" t="n">
        <v>44517</v>
      </c>
      <c r="H1730" s="32" t="s">
        <v>15</v>
      </c>
      <c r="I1730" s="5" t="n">
        <v>-69.14</v>
      </c>
      <c r="J1730" s="54" t="s">
        <v>37</v>
      </c>
      <c r="K1730" s="10"/>
    </row>
    <row r="1731" customFormat="false" ht="12.8" hidden="false" customHeight="false" outlineLevel="0" collapsed="false">
      <c r="G1731" s="25" t="n">
        <v>44517</v>
      </c>
      <c r="H1731" s="48" t="s">
        <v>26</v>
      </c>
      <c r="I1731" s="5" t="n">
        <v>-40</v>
      </c>
      <c r="J1731" s="54" t="s">
        <v>977</v>
      </c>
    </row>
    <row r="1732" customFormat="false" ht="12.8" hidden="false" customHeight="false" outlineLevel="0" collapsed="false">
      <c r="G1732" s="25" t="n">
        <v>44518</v>
      </c>
      <c r="H1732" s="26" t="s">
        <v>10</v>
      </c>
      <c r="I1732" s="5" t="n">
        <v>-69</v>
      </c>
      <c r="J1732" s="54" t="s">
        <v>38</v>
      </c>
      <c r="K1732" s="10"/>
    </row>
    <row r="1733" customFormat="false" ht="12.8" hidden="false" customHeight="false" outlineLevel="0" collapsed="false">
      <c r="G1733" s="25" t="n">
        <v>44518</v>
      </c>
      <c r="H1733" s="32" t="s">
        <v>15</v>
      </c>
      <c r="I1733" s="5" t="n">
        <v>69</v>
      </c>
      <c r="J1733" s="54" t="s">
        <v>38</v>
      </c>
      <c r="K1733" s="10"/>
    </row>
    <row r="1734" customFormat="false" ht="12.8" hidden="false" customHeight="false" outlineLevel="0" collapsed="false">
      <c r="G1734" s="25" t="n">
        <v>44518</v>
      </c>
      <c r="H1734" s="32" t="s">
        <v>15</v>
      </c>
      <c r="I1734" s="5" t="n">
        <v>-71.03</v>
      </c>
      <c r="J1734" s="54" t="s">
        <v>37</v>
      </c>
      <c r="K1734" s="10"/>
    </row>
    <row r="1735" customFormat="false" ht="12.8" hidden="false" customHeight="false" outlineLevel="0" collapsed="false">
      <c r="G1735" s="25" t="n">
        <v>44518</v>
      </c>
      <c r="H1735" s="43" t="s">
        <v>23</v>
      </c>
      <c r="I1735" s="5" t="n">
        <v>-19.23</v>
      </c>
      <c r="J1735" s="10" t="s">
        <v>37</v>
      </c>
      <c r="K1735" s="10"/>
    </row>
    <row r="1736" customFormat="false" ht="12.8" hidden="false" customHeight="false" outlineLevel="0" collapsed="false">
      <c r="G1736" s="25" t="n">
        <v>44519</v>
      </c>
      <c r="H1736" s="26" t="s">
        <v>10</v>
      </c>
      <c r="I1736" s="5" t="n">
        <v>-71</v>
      </c>
      <c r="J1736" s="54" t="s">
        <v>38</v>
      </c>
    </row>
    <row r="1737" customFormat="false" ht="12.8" hidden="false" customHeight="false" outlineLevel="0" collapsed="false">
      <c r="G1737" s="25" t="n">
        <v>44519</v>
      </c>
      <c r="H1737" s="32" t="s">
        <v>15</v>
      </c>
      <c r="I1737" s="5" t="n">
        <v>71</v>
      </c>
      <c r="J1737" s="54" t="s">
        <v>38</v>
      </c>
      <c r="K1737" s="10"/>
    </row>
    <row r="1738" customFormat="false" ht="12.8" hidden="false" customHeight="false" outlineLevel="0" collapsed="false">
      <c r="G1738" s="25" t="n">
        <v>44519</v>
      </c>
      <c r="H1738" s="32" t="s">
        <v>15</v>
      </c>
      <c r="I1738" s="5" t="n">
        <v>-69.42</v>
      </c>
      <c r="J1738" s="54" t="s">
        <v>37</v>
      </c>
      <c r="K1738" s="10"/>
    </row>
    <row r="1739" customFormat="false" ht="12.8" hidden="false" customHeight="false" outlineLevel="0" collapsed="false">
      <c r="G1739" s="25" t="n">
        <v>44520</v>
      </c>
      <c r="H1739" s="26" t="s">
        <v>10</v>
      </c>
      <c r="I1739" s="5" t="n">
        <v>-69</v>
      </c>
      <c r="J1739" s="54" t="s">
        <v>38</v>
      </c>
      <c r="K1739" s="10"/>
    </row>
    <row r="1740" customFormat="false" ht="12.8" hidden="false" customHeight="false" outlineLevel="0" collapsed="false">
      <c r="G1740" s="25" t="n">
        <v>44520</v>
      </c>
      <c r="H1740" s="32" t="s">
        <v>15</v>
      </c>
      <c r="I1740" s="5" t="n">
        <v>69</v>
      </c>
      <c r="J1740" s="54" t="s">
        <v>38</v>
      </c>
      <c r="K1740" s="10"/>
    </row>
    <row r="1741" customFormat="false" ht="12.8" hidden="false" customHeight="false" outlineLevel="0" collapsed="false">
      <c r="G1741" s="25" t="n">
        <v>44520</v>
      </c>
      <c r="H1741" s="32" t="s">
        <v>15</v>
      </c>
      <c r="I1741" s="5" t="n">
        <v>-57.88</v>
      </c>
      <c r="J1741" s="54" t="s">
        <v>37</v>
      </c>
      <c r="K1741" s="10"/>
    </row>
    <row r="1742" customFormat="false" ht="12.8" hidden="false" customHeight="false" outlineLevel="0" collapsed="false">
      <c r="G1742" s="25" t="n">
        <v>44520</v>
      </c>
      <c r="H1742" s="43" t="s">
        <v>23</v>
      </c>
      <c r="I1742" s="5" t="n">
        <v>-65</v>
      </c>
      <c r="J1742" s="10" t="s">
        <v>48</v>
      </c>
      <c r="K1742" s="10"/>
    </row>
    <row r="1743" customFormat="false" ht="12.8" hidden="false" customHeight="false" outlineLevel="0" collapsed="false">
      <c r="G1743" s="25" t="n">
        <v>44520</v>
      </c>
      <c r="H1743" s="48" t="s">
        <v>26</v>
      </c>
      <c r="I1743" s="5" t="n">
        <v>-40</v>
      </c>
      <c r="J1743" s="10" t="s">
        <v>941</v>
      </c>
      <c r="K1743" s="10"/>
    </row>
    <row r="1744" customFormat="false" ht="12.8" hidden="false" customHeight="false" outlineLevel="0" collapsed="false">
      <c r="G1744" s="25" t="n">
        <v>44520</v>
      </c>
      <c r="H1744" s="52" t="s">
        <v>14</v>
      </c>
      <c r="I1744" s="5" t="n">
        <v>-35</v>
      </c>
      <c r="J1744" s="10" t="s">
        <v>870</v>
      </c>
      <c r="K1744" s="10"/>
    </row>
    <row r="1745" customFormat="false" ht="12.8" hidden="false" customHeight="false" outlineLevel="0" collapsed="false">
      <c r="G1745" s="25" t="n">
        <v>44520</v>
      </c>
      <c r="H1745" s="48" t="s">
        <v>26</v>
      </c>
      <c r="I1745" s="5" t="n">
        <v>35</v>
      </c>
      <c r="J1745" s="10" t="s">
        <v>870</v>
      </c>
      <c r="K1745" s="10"/>
    </row>
    <row r="1746" customFormat="false" ht="12.8" hidden="false" customHeight="false" outlineLevel="0" collapsed="false">
      <c r="G1746" s="25" t="n">
        <v>44520</v>
      </c>
      <c r="H1746" s="48" t="s">
        <v>26</v>
      </c>
      <c r="I1746" s="5" t="n">
        <v>-40</v>
      </c>
      <c r="J1746" s="10" t="s">
        <v>941</v>
      </c>
      <c r="K1746" s="10"/>
    </row>
    <row r="1747" customFormat="false" ht="12.8" hidden="false" customHeight="false" outlineLevel="0" collapsed="false">
      <c r="G1747" s="25" t="n">
        <v>44521</v>
      </c>
      <c r="H1747" s="26" t="s">
        <v>10</v>
      </c>
      <c r="I1747" s="5" t="n">
        <v>-58</v>
      </c>
      <c r="J1747" s="54" t="s">
        <v>38</v>
      </c>
      <c r="K1747" s="10"/>
    </row>
    <row r="1748" customFormat="false" ht="12.8" hidden="false" customHeight="false" outlineLevel="0" collapsed="false">
      <c r="G1748" s="25" t="n">
        <v>44521</v>
      </c>
      <c r="H1748" s="32" t="s">
        <v>15</v>
      </c>
      <c r="I1748" s="5" t="n">
        <v>58</v>
      </c>
      <c r="J1748" s="54" t="s">
        <v>38</v>
      </c>
      <c r="K1748" s="10"/>
    </row>
    <row r="1749" customFormat="false" ht="12.8" hidden="false" customHeight="false" outlineLevel="0" collapsed="false">
      <c r="G1749" s="25" t="n">
        <v>44521</v>
      </c>
      <c r="H1749" s="43" t="s">
        <v>23</v>
      </c>
      <c r="I1749" s="5" t="n">
        <v>-85.37</v>
      </c>
      <c r="J1749" s="10" t="s">
        <v>53</v>
      </c>
      <c r="K1749" s="10"/>
    </row>
    <row r="1750" customFormat="false" ht="12.8" hidden="false" customHeight="false" outlineLevel="0" collapsed="false">
      <c r="G1750" s="25" t="n">
        <v>44521</v>
      </c>
      <c r="H1750" s="32" t="s">
        <v>15</v>
      </c>
      <c r="I1750" s="5" t="n">
        <v>-68.97</v>
      </c>
      <c r="J1750" s="54" t="s">
        <v>37</v>
      </c>
      <c r="K1750" s="10"/>
    </row>
    <row r="1751" customFormat="false" ht="12.8" hidden="false" customHeight="false" outlineLevel="0" collapsed="false">
      <c r="G1751" s="25" t="n">
        <v>44521</v>
      </c>
      <c r="H1751" s="43" t="s">
        <v>23</v>
      </c>
      <c r="I1751" s="5" t="n">
        <v>-23.01</v>
      </c>
      <c r="J1751" s="10" t="s">
        <v>37</v>
      </c>
      <c r="K1751" s="10"/>
    </row>
    <row r="1752" customFormat="false" ht="12.8" hidden="false" customHeight="false" outlineLevel="0" collapsed="false">
      <c r="G1752" s="25" t="n">
        <v>44522</v>
      </c>
      <c r="H1752" s="26" t="s">
        <v>10</v>
      </c>
      <c r="I1752" s="5" t="n">
        <v>-69</v>
      </c>
      <c r="J1752" s="54" t="s">
        <v>38</v>
      </c>
      <c r="K1752" s="10"/>
    </row>
    <row r="1753" customFormat="false" ht="12.8" hidden="false" customHeight="false" outlineLevel="0" collapsed="false">
      <c r="G1753" s="25" t="n">
        <v>44522</v>
      </c>
      <c r="H1753" s="32" t="s">
        <v>15</v>
      </c>
      <c r="I1753" s="5" t="n">
        <v>69</v>
      </c>
      <c r="J1753" s="54" t="s">
        <v>38</v>
      </c>
      <c r="K1753" s="10"/>
    </row>
    <row r="1754" customFormat="false" ht="12.8" hidden="false" customHeight="false" outlineLevel="0" collapsed="false">
      <c r="G1754" s="25" t="n">
        <v>44522</v>
      </c>
      <c r="H1754" s="32" t="s">
        <v>15</v>
      </c>
      <c r="I1754" s="5" t="n">
        <v>-45.18</v>
      </c>
      <c r="J1754" s="54" t="s">
        <v>37</v>
      </c>
      <c r="K1754" s="10"/>
    </row>
    <row r="1755" customFormat="false" ht="12.8" hidden="false" customHeight="false" outlineLevel="0" collapsed="false">
      <c r="G1755" s="25" t="n">
        <v>44523</v>
      </c>
      <c r="H1755" s="26" t="s">
        <v>10</v>
      </c>
      <c r="I1755" s="5" t="n">
        <v>-45</v>
      </c>
      <c r="J1755" s="54" t="s">
        <v>38</v>
      </c>
      <c r="K1755" s="10"/>
    </row>
    <row r="1756" customFormat="false" ht="12.8" hidden="false" customHeight="false" outlineLevel="0" collapsed="false">
      <c r="G1756" s="25" t="n">
        <v>44523</v>
      </c>
      <c r="H1756" s="32" t="s">
        <v>15</v>
      </c>
      <c r="I1756" s="5" t="n">
        <v>45</v>
      </c>
      <c r="J1756" s="54" t="s">
        <v>38</v>
      </c>
      <c r="K1756" s="10"/>
    </row>
    <row r="1757" customFormat="false" ht="12.8" hidden="false" customHeight="false" outlineLevel="0" collapsed="false">
      <c r="G1757" s="25" t="n">
        <v>44522</v>
      </c>
      <c r="H1757" s="43" t="s">
        <v>23</v>
      </c>
      <c r="I1757" s="5" t="n">
        <v>-23.54</v>
      </c>
      <c r="J1757" s="54" t="s">
        <v>37</v>
      </c>
      <c r="K1757" s="10"/>
    </row>
    <row r="1758" customFormat="false" ht="12.8" hidden="false" customHeight="false" outlineLevel="0" collapsed="false">
      <c r="G1758" s="25" t="n">
        <v>44523</v>
      </c>
      <c r="H1758" s="32" t="s">
        <v>15</v>
      </c>
      <c r="I1758" s="5" t="n">
        <v>-69.55</v>
      </c>
      <c r="J1758" s="10" t="s">
        <v>37</v>
      </c>
      <c r="K1758" s="10"/>
    </row>
    <row r="1759" customFormat="false" ht="12.8" hidden="false" customHeight="false" outlineLevel="0" collapsed="false">
      <c r="G1759" s="25" t="n">
        <v>44524</v>
      </c>
      <c r="H1759" s="26" t="s">
        <v>10</v>
      </c>
      <c r="I1759" s="5" t="n">
        <v>-69</v>
      </c>
      <c r="J1759" s="54" t="s">
        <v>38</v>
      </c>
    </row>
    <row r="1760" customFormat="false" ht="12.8" hidden="false" customHeight="false" outlineLevel="0" collapsed="false">
      <c r="G1760" s="25" t="n">
        <v>44524</v>
      </c>
      <c r="H1760" s="32" t="s">
        <v>15</v>
      </c>
      <c r="I1760" s="5" t="n">
        <v>69</v>
      </c>
      <c r="J1760" s="54" t="s">
        <v>38</v>
      </c>
      <c r="K1760" s="10"/>
    </row>
    <row r="1761" customFormat="false" ht="12.8" hidden="false" customHeight="false" outlineLevel="0" collapsed="false">
      <c r="G1761" s="25" t="n">
        <v>44524</v>
      </c>
      <c r="H1761" s="43" t="s">
        <v>23</v>
      </c>
      <c r="I1761" s="5" t="n">
        <v>-136.09</v>
      </c>
      <c r="J1761" s="10" t="s">
        <v>47</v>
      </c>
      <c r="K1761" s="10"/>
    </row>
    <row r="1762" customFormat="false" ht="12.8" hidden="false" customHeight="false" outlineLevel="0" collapsed="false">
      <c r="G1762" s="25" t="n">
        <v>44524</v>
      </c>
      <c r="H1762" s="32" t="s">
        <v>15</v>
      </c>
      <c r="I1762" s="5" t="n">
        <v>-66.94</v>
      </c>
      <c r="J1762" s="54" t="s">
        <v>37</v>
      </c>
      <c r="K1762" s="10"/>
    </row>
    <row r="1763" customFormat="false" ht="12.8" hidden="false" customHeight="false" outlineLevel="0" collapsed="false">
      <c r="G1763" s="25" t="n">
        <v>44524</v>
      </c>
      <c r="H1763" s="26" t="s">
        <v>10</v>
      </c>
      <c r="I1763" s="5" t="n">
        <v>-146</v>
      </c>
      <c r="J1763" s="54" t="s">
        <v>978</v>
      </c>
      <c r="K1763" s="10"/>
    </row>
    <row r="1764" customFormat="false" ht="12.8" hidden="false" customHeight="false" outlineLevel="0" collapsed="false">
      <c r="G1764" s="25" t="n">
        <v>44524</v>
      </c>
      <c r="H1764" s="32" t="s">
        <v>15</v>
      </c>
      <c r="I1764" s="5" t="n">
        <v>146</v>
      </c>
      <c r="J1764" s="54" t="s">
        <v>978</v>
      </c>
    </row>
    <row r="1765" customFormat="false" ht="12.8" hidden="false" customHeight="false" outlineLevel="0" collapsed="false">
      <c r="G1765" s="25" t="n">
        <v>44525</v>
      </c>
      <c r="H1765" s="26" t="s">
        <v>10</v>
      </c>
      <c r="I1765" s="5" t="n">
        <v>-71</v>
      </c>
      <c r="J1765" s="54" t="s">
        <v>38</v>
      </c>
    </row>
    <row r="1766" customFormat="false" ht="12.8" hidden="false" customHeight="false" outlineLevel="0" collapsed="false">
      <c r="G1766" s="25" t="n">
        <v>44525</v>
      </c>
      <c r="H1766" s="32" t="s">
        <v>15</v>
      </c>
      <c r="I1766" s="5" t="n">
        <v>71</v>
      </c>
      <c r="J1766" s="54" t="s">
        <v>38</v>
      </c>
    </row>
    <row r="1767" customFormat="false" ht="12.8" hidden="false" customHeight="false" outlineLevel="0" collapsed="false">
      <c r="G1767" s="25" t="n">
        <v>44525</v>
      </c>
      <c r="H1767" s="32" t="s">
        <v>15</v>
      </c>
      <c r="I1767" s="5" t="n">
        <v>-150</v>
      </c>
      <c r="J1767" s="54" t="s">
        <v>979</v>
      </c>
      <c r="K1767" s="10"/>
    </row>
    <row r="1768" customFormat="false" ht="12.8" hidden="false" customHeight="false" outlineLevel="0" collapsed="false">
      <c r="G1768" s="25" t="n">
        <v>44525</v>
      </c>
      <c r="H1768" s="43" t="s">
        <v>23</v>
      </c>
      <c r="I1768" s="5" t="n">
        <v>-438.1</v>
      </c>
      <c r="J1768" s="10" t="s">
        <v>843</v>
      </c>
      <c r="K1768" s="10"/>
    </row>
    <row r="1769" customFormat="false" ht="12.8" hidden="false" customHeight="false" outlineLevel="0" collapsed="false">
      <c r="G1769" s="25" t="n">
        <v>44525</v>
      </c>
      <c r="H1769" s="32" t="s">
        <v>15</v>
      </c>
      <c r="I1769" s="5" t="n">
        <v>-56.57</v>
      </c>
      <c r="J1769" s="10" t="s">
        <v>37</v>
      </c>
      <c r="K1769" s="10"/>
    </row>
    <row r="1770" customFormat="false" ht="12.8" hidden="false" customHeight="false" outlineLevel="0" collapsed="false">
      <c r="G1770" s="25" t="n">
        <v>44525</v>
      </c>
      <c r="H1770" s="43" t="s">
        <v>23</v>
      </c>
      <c r="I1770" s="5" t="n">
        <v>-20.93</v>
      </c>
      <c r="J1770" s="10" t="s">
        <v>37</v>
      </c>
      <c r="K1770" s="10"/>
    </row>
    <row r="1771" customFormat="false" ht="12.8" hidden="false" customHeight="false" outlineLevel="0" collapsed="false">
      <c r="G1771" s="25" t="n">
        <v>44526</v>
      </c>
      <c r="H1771" s="26" t="s">
        <v>10</v>
      </c>
      <c r="I1771" s="5" t="n">
        <v>-57</v>
      </c>
      <c r="J1771" s="54" t="s">
        <v>38</v>
      </c>
      <c r="K1771" s="10"/>
    </row>
    <row r="1772" customFormat="false" ht="12.8" hidden="false" customHeight="false" outlineLevel="0" collapsed="false">
      <c r="G1772" s="25" t="n">
        <v>44526</v>
      </c>
      <c r="H1772" s="32" t="s">
        <v>15</v>
      </c>
      <c r="I1772" s="5" t="n">
        <v>57</v>
      </c>
      <c r="J1772" s="54" t="s">
        <v>38</v>
      </c>
      <c r="K1772" s="10"/>
    </row>
    <row r="1773" customFormat="false" ht="12.8" hidden="false" customHeight="false" outlineLevel="0" collapsed="false">
      <c r="G1773" s="25" t="n">
        <v>44526</v>
      </c>
      <c r="H1773" s="32" t="s">
        <v>15</v>
      </c>
      <c r="I1773" s="5" t="n">
        <v>-68.45</v>
      </c>
      <c r="J1773" s="54" t="s">
        <v>37</v>
      </c>
      <c r="K1773" s="10"/>
      <c r="L1773" s="10"/>
    </row>
    <row r="1774" customFormat="false" ht="12.8" hidden="false" customHeight="false" outlineLevel="0" collapsed="false">
      <c r="G1774" s="25" t="n">
        <v>44526</v>
      </c>
      <c r="H1774" s="43" t="s">
        <v>23</v>
      </c>
      <c r="I1774" s="5" t="n">
        <v>250</v>
      </c>
      <c r="J1774" s="10" t="s">
        <v>965</v>
      </c>
      <c r="K1774" s="10"/>
      <c r="L1774" s="10"/>
    </row>
    <row r="1775" customFormat="false" ht="12.8" hidden="false" customHeight="false" outlineLevel="0" collapsed="false">
      <c r="G1775" s="25" t="n">
        <v>44526</v>
      </c>
      <c r="H1775" s="43" t="s">
        <v>23</v>
      </c>
      <c r="I1775" s="5" t="n">
        <v>-5</v>
      </c>
      <c r="J1775" s="10" t="s">
        <v>966</v>
      </c>
      <c r="K1775" s="10"/>
    </row>
    <row r="1776" customFormat="false" ht="12.8" hidden="false" customHeight="false" outlineLevel="0" collapsed="false">
      <c r="G1776" s="25" t="n">
        <v>44527</v>
      </c>
      <c r="H1776" s="43" t="s">
        <v>23</v>
      </c>
      <c r="I1776" s="5" t="n">
        <v>-99.09</v>
      </c>
      <c r="J1776" s="10" t="s">
        <v>37</v>
      </c>
      <c r="K1776" s="10"/>
    </row>
    <row r="1777" customFormat="false" ht="12.8" hidden="false" customHeight="false" outlineLevel="0" collapsed="false">
      <c r="G1777" s="25" t="n">
        <v>44527</v>
      </c>
      <c r="H1777" s="52" t="s">
        <v>14</v>
      </c>
      <c r="I1777" s="5" t="n">
        <v>1.12</v>
      </c>
      <c r="J1777" s="10" t="s">
        <v>40</v>
      </c>
      <c r="K1777" s="10"/>
    </row>
    <row r="1778" customFormat="false" ht="12.8" hidden="false" customHeight="false" outlineLevel="0" collapsed="false">
      <c r="G1778" s="25" t="n">
        <v>44528</v>
      </c>
      <c r="H1778" s="43" t="s">
        <v>23</v>
      </c>
      <c r="I1778" s="5" t="n">
        <v>-68.73</v>
      </c>
      <c r="J1778" s="10" t="s">
        <v>37</v>
      </c>
      <c r="K1778" s="10"/>
    </row>
    <row r="1779" customFormat="false" ht="12.8" hidden="false" customHeight="false" outlineLevel="0" collapsed="false">
      <c r="G1779" s="25" t="n">
        <v>44529</v>
      </c>
      <c r="H1779" s="43" t="s">
        <v>23</v>
      </c>
      <c r="I1779" s="5" t="n">
        <v>-61.93</v>
      </c>
      <c r="J1779" s="10" t="s">
        <v>37</v>
      </c>
      <c r="K1779" s="10"/>
    </row>
    <row r="1780" customFormat="false" ht="12.8" hidden="false" customHeight="false" outlineLevel="0" collapsed="false">
      <c r="G1780" s="25" t="n">
        <v>44530</v>
      </c>
      <c r="H1780" s="26" t="s">
        <v>10</v>
      </c>
      <c r="I1780" s="5" t="n">
        <v>-500</v>
      </c>
      <c r="J1780" s="54" t="s">
        <v>38</v>
      </c>
      <c r="K1780" s="10"/>
    </row>
    <row r="1781" customFormat="false" ht="12.8" hidden="false" customHeight="false" outlineLevel="0" collapsed="false">
      <c r="G1781" s="25" t="n">
        <v>44530</v>
      </c>
      <c r="H1781" s="32" t="s">
        <v>15</v>
      </c>
      <c r="I1781" s="5" t="n">
        <v>500</v>
      </c>
      <c r="J1781" s="54" t="s">
        <v>38</v>
      </c>
    </row>
    <row r="1782" customFormat="false" ht="12.8" hidden="false" customHeight="false" outlineLevel="0" collapsed="false">
      <c r="G1782" s="25" t="n">
        <v>44530</v>
      </c>
      <c r="H1782" s="32" t="s">
        <v>15</v>
      </c>
      <c r="I1782" s="5" t="n">
        <v>-500</v>
      </c>
      <c r="J1782" s="54" t="s">
        <v>937</v>
      </c>
    </row>
    <row r="1783" customFormat="false" ht="12.8" hidden="false" customHeight="false" outlineLevel="0" collapsed="false">
      <c r="G1783" s="25" t="n">
        <v>44530</v>
      </c>
      <c r="H1783" s="43" t="s">
        <v>23</v>
      </c>
      <c r="I1783" s="5" t="n">
        <v>-68.49</v>
      </c>
      <c r="J1783" s="10" t="s">
        <v>37</v>
      </c>
      <c r="K1783" s="10"/>
    </row>
    <row r="1784" customFormat="false" ht="12.8" hidden="false" customHeight="false" outlineLevel="0" collapsed="false">
      <c r="G1784" s="25" t="n">
        <v>44531</v>
      </c>
      <c r="H1784" s="43" t="s">
        <v>23</v>
      </c>
      <c r="I1784" s="5" t="n">
        <v>-5</v>
      </c>
      <c r="J1784" s="10" t="s">
        <v>980</v>
      </c>
      <c r="K1784" s="54"/>
    </row>
    <row r="1785" customFormat="false" ht="12.8" hidden="false" customHeight="false" outlineLevel="0" collapsed="false">
      <c r="G1785" s="25" t="n">
        <v>44531</v>
      </c>
      <c r="H1785" s="43" t="s">
        <v>23</v>
      </c>
      <c r="I1785" s="5" t="n">
        <v>-71.62</v>
      </c>
      <c r="J1785" s="10" t="s">
        <v>37</v>
      </c>
      <c r="K1785" s="10"/>
    </row>
    <row r="1786" customFormat="false" ht="12.8" hidden="false" customHeight="false" outlineLevel="0" collapsed="false">
      <c r="G1786" s="25" t="n">
        <v>44531</v>
      </c>
      <c r="H1786" s="26" t="s">
        <v>10</v>
      </c>
      <c r="I1786" s="5" t="n">
        <v>0.32</v>
      </c>
      <c r="J1786" s="10" t="s">
        <v>40</v>
      </c>
      <c r="K1786" s="10"/>
    </row>
    <row r="1787" customFormat="false" ht="12.8" hidden="false" customHeight="false" outlineLevel="0" collapsed="false">
      <c r="G1787" s="25" t="n">
        <v>44531</v>
      </c>
      <c r="H1787" s="32" t="s">
        <v>15</v>
      </c>
      <c r="I1787" s="5" t="n">
        <v>-2.68</v>
      </c>
      <c r="J1787" s="10" t="s">
        <v>104</v>
      </c>
      <c r="K1787" s="10"/>
    </row>
    <row r="1788" customFormat="false" ht="12.8" hidden="false" customHeight="false" outlineLevel="0" collapsed="false">
      <c r="G1788" s="25" t="n">
        <v>44531</v>
      </c>
      <c r="H1788" s="26" t="s">
        <v>10</v>
      </c>
      <c r="I1788" s="5" t="n">
        <v>2.68</v>
      </c>
      <c r="J1788" s="10" t="s">
        <v>104</v>
      </c>
      <c r="K1788" s="10"/>
    </row>
    <row r="1789" customFormat="false" ht="12.8" hidden="false" customHeight="false" outlineLevel="0" collapsed="false">
      <c r="G1789" s="25" t="n">
        <v>44531</v>
      </c>
      <c r="H1789" s="48" t="s">
        <v>26</v>
      </c>
      <c r="I1789" s="5" t="n">
        <v>-15</v>
      </c>
      <c r="J1789" s="10" t="s">
        <v>981</v>
      </c>
      <c r="K1789" s="10"/>
    </row>
    <row r="1790" customFormat="false" ht="12.8" hidden="false" customHeight="false" outlineLevel="0" collapsed="false">
      <c r="G1790" s="25" t="n">
        <v>44532</v>
      </c>
      <c r="H1790" s="52" t="s">
        <v>14</v>
      </c>
      <c r="I1790" s="5" t="n">
        <v>-2003</v>
      </c>
      <c r="J1790" s="10" t="s">
        <v>982</v>
      </c>
      <c r="K1790" s="10"/>
    </row>
    <row r="1791" customFormat="false" ht="12.8" hidden="false" customHeight="false" outlineLevel="0" collapsed="false">
      <c r="G1791" s="25" t="n">
        <v>44532</v>
      </c>
      <c r="H1791" s="48" t="s">
        <v>26</v>
      </c>
      <c r="I1791" s="5" t="n">
        <v>2003</v>
      </c>
      <c r="J1791" s="10" t="s">
        <v>982</v>
      </c>
      <c r="K1791" s="10"/>
    </row>
    <row r="1792" customFormat="false" ht="12.8" hidden="false" customHeight="false" outlineLevel="0" collapsed="false">
      <c r="G1792" s="25" t="n">
        <v>44532</v>
      </c>
      <c r="H1792" s="48" t="s">
        <v>26</v>
      </c>
      <c r="I1792" s="5" t="n">
        <v>-2000</v>
      </c>
      <c r="J1792" s="10" t="s">
        <v>146</v>
      </c>
      <c r="K1792" s="10"/>
    </row>
    <row r="1793" customFormat="false" ht="12.8" hidden="false" customHeight="false" outlineLevel="0" collapsed="false">
      <c r="G1793" s="25" t="n">
        <v>44532</v>
      </c>
      <c r="H1793" s="48" t="s">
        <v>26</v>
      </c>
      <c r="I1793" s="5" t="n">
        <v>-3</v>
      </c>
      <c r="J1793" s="10" t="s">
        <v>92</v>
      </c>
      <c r="K1793" s="10"/>
    </row>
    <row r="1794" customFormat="false" ht="12.8" hidden="false" customHeight="false" outlineLevel="0" collapsed="false">
      <c r="G1794" s="25" t="n">
        <v>44532</v>
      </c>
      <c r="H1794" s="32" t="s">
        <v>15</v>
      </c>
      <c r="I1794" s="5" t="n">
        <v>2000</v>
      </c>
      <c r="J1794" s="10" t="s">
        <v>146</v>
      </c>
      <c r="K1794" s="10"/>
    </row>
    <row r="1795" customFormat="false" ht="12.8" hidden="false" customHeight="false" outlineLevel="0" collapsed="false">
      <c r="G1795" s="25" t="n">
        <v>44532</v>
      </c>
      <c r="H1795" s="32" t="s">
        <v>15</v>
      </c>
      <c r="I1795" s="5" t="n">
        <v>-2000</v>
      </c>
      <c r="J1795" s="10" t="s">
        <v>56</v>
      </c>
      <c r="K1795" s="10"/>
    </row>
    <row r="1796" customFormat="false" ht="12.8" hidden="false" customHeight="false" outlineLevel="0" collapsed="false">
      <c r="G1796" s="25" t="n">
        <v>44532</v>
      </c>
      <c r="H1796" s="26" t="s">
        <v>10</v>
      </c>
      <c r="I1796" s="5" t="n">
        <v>2000</v>
      </c>
      <c r="J1796" s="10" t="s">
        <v>56</v>
      </c>
      <c r="K1796" s="10"/>
    </row>
    <row r="1797" customFormat="false" ht="12.8" hidden="false" customHeight="false" outlineLevel="0" collapsed="false">
      <c r="G1797" s="25" t="n">
        <v>44532</v>
      </c>
      <c r="H1797" s="43" t="s">
        <v>23</v>
      </c>
      <c r="I1797" s="5" t="n">
        <v>-74.36</v>
      </c>
      <c r="J1797" s="10" t="s">
        <v>37</v>
      </c>
      <c r="K1797" s="10"/>
    </row>
    <row r="1798" customFormat="false" ht="12.8" hidden="false" customHeight="false" outlineLevel="0" collapsed="false">
      <c r="G1798" s="25" t="n">
        <v>44532</v>
      </c>
      <c r="H1798" s="43" t="s">
        <v>23</v>
      </c>
      <c r="I1798" s="5" t="n">
        <v>-9.18</v>
      </c>
      <c r="J1798" s="10" t="s">
        <v>37</v>
      </c>
      <c r="K1798" s="10"/>
    </row>
    <row r="1799" customFormat="false" ht="12.8" hidden="false" customHeight="false" outlineLevel="0" collapsed="false">
      <c r="G1799" s="25" t="n">
        <v>44533</v>
      </c>
      <c r="H1799" s="43" t="s">
        <v>23</v>
      </c>
      <c r="I1799" s="5" t="n">
        <v>-69.71</v>
      </c>
      <c r="J1799" s="10" t="s">
        <v>37</v>
      </c>
      <c r="K1799" s="10"/>
    </row>
    <row r="1800" customFormat="false" ht="12.8" hidden="false" customHeight="false" outlineLevel="0" collapsed="false">
      <c r="G1800" s="25" t="n">
        <v>44533</v>
      </c>
      <c r="H1800" s="38" t="s">
        <v>21</v>
      </c>
      <c r="I1800" s="5" t="n">
        <v>-15</v>
      </c>
      <c r="J1800" s="10" t="s">
        <v>981</v>
      </c>
      <c r="K1800" s="10"/>
    </row>
    <row r="1801" customFormat="false" ht="12.8" hidden="false" customHeight="false" outlineLevel="0" collapsed="false">
      <c r="G1801" s="25" t="n">
        <v>44534</v>
      </c>
      <c r="H1801" s="26" t="s">
        <v>10</v>
      </c>
      <c r="I1801" s="5" t="n">
        <v>-51</v>
      </c>
      <c r="J1801" s="54" t="s">
        <v>38</v>
      </c>
      <c r="K1801" s="10"/>
    </row>
    <row r="1802" customFormat="false" ht="12.8" hidden="false" customHeight="false" outlineLevel="0" collapsed="false">
      <c r="G1802" s="25" t="n">
        <v>44534</v>
      </c>
      <c r="H1802" s="32" t="s">
        <v>15</v>
      </c>
      <c r="I1802" s="5" t="n">
        <v>51</v>
      </c>
      <c r="J1802" s="54" t="s">
        <v>38</v>
      </c>
      <c r="K1802" s="10"/>
    </row>
    <row r="1803" customFormat="false" ht="12.8" hidden="false" customHeight="false" outlineLevel="0" collapsed="false">
      <c r="G1803" s="25" t="n">
        <v>44534</v>
      </c>
      <c r="H1803" s="32" t="s">
        <v>15</v>
      </c>
      <c r="I1803" s="5" t="n">
        <v>-50.68</v>
      </c>
      <c r="J1803" s="54" t="s">
        <v>37</v>
      </c>
      <c r="K1803" s="10"/>
    </row>
    <row r="1804" customFormat="false" ht="12.8" hidden="false" customHeight="false" outlineLevel="0" collapsed="false">
      <c r="G1804" s="25" t="n">
        <v>44534</v>
      </c>
      <c r="H1804" s="43" t="s">
        <v>23</v>
      </c>
      <c r="I1804" s="5" t="n">
        <v>-20.29</v>
      </c>
      <c r="J1804" s="10" t="s">
        <v>37</v>
      </c>
      <c r="K1804" s="54"/>
    </row>
    <row r="1805" customFormat="false" ht="12.8" hidden="false" customHeight="false" outlineLevel="0" collapsed="false">
      <c r="G1805" s="25" t="n">
        <v>44535</v>
      </c>
      <c r="H1805" s="26" t="s">
        <v>10</v>
      </c>
      <c r="I1805" s="5" t="n">
        <v>-71</v>
      </c>
      <c r="J1805" s="54" t="s">
        <v>38</v>
      </c>
      <c r="K1805" s="54"/>
      <c r="L1805" s="54"/>
    </row>
    <row r="1806" customFormat="false" ht="12.8" hidden="false" customHeight="false" outlineLevel="0" collapsed="false">
      <c r="G1806" s="25" t="n">
        <v>44535</v>
      </c>
      <c r="H1806" s="32" t="s">
        <v>15</v>
      </c>
      <c r="I1806" s="5" t="n">
        <v>71</v>
      </c>
      <c r="J1806" s="54" t="s">
        <v>38</v>
      </c>
      <c r="K1806" s="54"/>
      <c r="L1806" s="54"/>
    </row>
    <row r="1807" customFormat="false" ht="12.8" hidden="false" customHeight="false" outlineLevel="0" collapsed="false">
      <c r="G1807" s="25" t="n">
        <v>44535</v>
      </c>
      <c r="H1807" s="32" t="s">
        <v>15</v>
      </c>
      <c r="I1807" s="5" t="n">
        <v>-69.59</v>
      </c>
      <c r="J1807" s="54" t="s">
        <v>37</v>
      </c>
      <c r="K1807" s="54"/>
      <c r="L1807" s="54"/>
    </row>
    <row r="1808" customFormat="false" ht="12.8" hidden="false" customHeight="false" outlineLevel="0" collapsed="false">
      <c r="G1808" s="25" t="n">
        <v>44535</v>
      </c>
      <c r="H1808" s="52" t="s">
        <v>14</v>
      </c>
      <c r="I1808" s="5" t="n">
        <v>0.56</v>
      </c>
      <c r="J1808" s="10" t="s">
        <v>40</v>
      </c>
      <c r="K1808" s="54"/>
      <c r="L1808" s="54"/>
    </row>
    <row r="1809" customFormat="false" ht="12.8" hidden="false" customHeight="false" outlineLevel="0" collapsed="false">
      <c r="G1809" s="25" t="n">
        <v>44535</v>
      </c>
      <c r="H1809" s="52" t="s">
        <v>14</v>
      </c>
      <c r="I1809" s="5" t="n">
        <v>-10</v>
      </c>
      <c r="J1809" s="10" t="s">
        <v>727</v>
      </c>
      <c r="K1809" s="54"/>
      <c r="L1809" s="54"/>
    </row>
    <row r="1810" customFormat="false" ht="12.8" hidden="false" customHeight="false" outlineLevel="0" collapsed="false">
      <c r="G1810" s="25" t="n">
        <v>44535</v>
      </c>
      <c r="H1810" s="48" t="s">
        <v>26</v>
      </c>
      <c r="I1810" s="5" t="n">
        <v>10</v>
      </c>
      <c r="J1810" s="10" t="s">
        <v>727</v>
      </c>
      <c r="K1810" s="54"/>
      <c r="L1810" s="54"/>
    </row>
    <row r="1811" customFormat="false" ht="12.8" hidden="false" customHeight="false" outlineLevel="0" collapsed="false">
      <c r="G1811" s="25" t="n">
        <v>44535</v>
      </c>
      <c r="H1811" s="48" t="s">
        <v>26</v>
      </c>
      <c r="I1811" s="5" t="n">
        <v>-9.78</v>
      </c>
      <c r="J1811" s="10" t="s">
        <v>37</v>
      </c>
      <c r="K1811" s="54"/>
      <c r="L1811" s="54"/>
    </row>
    <row r="1812" customFormat="false" ht="12.8" hidden="false" customHeight="false" outlineLevel="0" collapsed="false">
      <c r="G1812" s="25" t="n">
        <v>44536</v>
      </c>
      <c r="H1812" s="26" t="s">
        <v>10</v>
      </c>
      <c r="I1812" s="5" t="n">
        <v>-69</v>
      </c>
      <c r="J1812" s="54" t="s">
        <v>38</v>
      </c>
      <c r="K1812" s="54"/>
    </row>
    <row r="1813" customFormat="false" ht="12.8" hidden="false" customHeight="false" outlineLevel="0" collapsed="false">
      <c r="G1813" s="25" t="n">
        <v>44536</v>
      </c>
      <c r="H1813" s="32" t="s">
        <v>15</v>
      </c>
      <c r="I1813" s="5" t="n">
        <v>69</v>
      </c>
      <c r="J1813" s="54" t="s">
        <v>38</v>
      </c>
      <c r="K1813" s="54"/>
    </row>
    <row r="1814" customFormat="false" ht="12.8" hidden="false" customHeight="false" outlineLevel="0" collapsed="false">
      <c r="G1814" s="25" t="n">
        <v>44536</v>
      </c>
      <c r="H1814" s="48" t="s">
        <v>26</v>
      </c>
      <c r="I1814" s="5" t="n">
        <v>4001.75</v>
      </c>
      <c r="J1814" s="10" t="s">
        <v>983</v>
      </c>
      <c r="K1814" s="54"/>
    </row>
    <row r="1815" customFormat="false" ht="12.8" hidden="false" customHeight="false" outlineLevel="0" collapsed="false">
      <c r="G1815" s="25" t="n">
        <v>44536</v>
      </c>
      <c r="H1815" s="48" t="s">
        <v>26</v>
      </c>
      <c r="I1815" s="5" t="n">
        <v>-4002</v>
      </c>
      <c r="J1815" s="10" t="s">
        <v>56</v>
      </c>
      <c r="K1815" s="10"/>
    </row>
    <row r="1816" customFormat="false" ht="12.8" hidden="false" customHeight="false" outlineLevel="0" collapsed="false">
      <c r="G1816" s="25" t="n">
        <v>44536</v>
      </c>
      <c r="H1816" s="52" t="s">
        <v>14</v>
      </c>
      <c r="I1816" s="5" t="n">
        <v>4002</v>
      </c>
      <c r="J1816" s="10" t="s">
        <v>730</v>
      </c>
      <c r="K1816" s="10"/>
    </row>
    <row r="1817" customFormat="false" ht="12.8" hidden="false" customHeight="false" outlineLevel="0" collapsed="false">
      <c r="G1817" s="25" t="n">
        <v>44536</v>
      </c>
      <c r="H1817" s="32" t="s">
        <v>15</v>
      </c>
      <c r="I1817" s="5" t="n">
        <v>-49.93</v>
      </c>
      <c r="J1817" s="54" t="s">
        <v>37</v>
      </c>
      <c r="K1817" s="10"/>
    </row>
    <row r="1818" customFormat="false" ht="12.8" hidden="false" customHeight="false" outlineLevel="0" collapsed="false">
      <c r="G1818" s="25" t="n">
        <v>44537</v>
      </c>
      <c r="H1818" s="26" t="s">
        <v>10</v>
      </c>
      <c r="I1818" s="5" t="n">
        <v>-50</v>
      </c>
      <c r="J1818" s="54" t="s">
        <v>38</v>
      </c>
      <c r="K1818" s="10"/>
    </row>
    <row r="1819" customFormat="false" ht="12.8" hidden="false" customHeight="false" outlineLevel="0" collapsed="false">
      <c r="G1819" s="25" t="n">
        <v>44537</v>
      </c>
      <c r="H1819" s="32" t="s">
        <v>15</v>
      </c>
      <c r="I1819" s="5" t="n">
        <v>50</v>
      </c>
      <c r="J1819" s="54" t="s">
        <v>38</v>
      </c>
      <c r="K1819" s="10"/>
    </row>
    <row r="1820" customFormat="false" ht="12.8" hidden="false" customHeight="false" outlineLevel="0" collapsed="false">
      <c r="G1820" s="25" t="n">
        <v>44537</v>
      </c>
      <c r="H1820" s="32" t="s">
        <v>15</v>
      </c>
      <c r="I1820" s="5" t="n">
        <v>-68.42</v>
      </c>
      <c r="J1820" s="54" t="s">
        <v>37</v>
      </c>
      <c r="K1820" s="10"/>
    </row>
    <row r="1821" customFormat="false" ht="12.8" hidden="false" customHeight="false" outlineLevel="0" collapsed="false">
      <c r="G1821" s="25" t="n">
        <v>44538</v>
      </c>
      <c r="H1821" s="26" t="s">
        <v>10</v>
      </c>
      <c r="I1821" s="5" t="n">
        <v>-69</v>
      </c>
      <c r="J1821" s="54" t="s">
        <v>38</v>
      </c>
      <c r="K1821" s="10"/>
    </row>
    <row r="1822" customFormat="false" ht="12.8" hidden="false" customHeight="false" outlineLevel="0" collapsed="false">
      <c r="G1822" s="25" t="n">
        <v>44538</v>
      </c>
      <c r="H1822" s="32" t="s">
        <v>15</v>
      </c>
      <c r="I1822" s="5" t="n">
        <v>69</v>
      </c>
      <c r="J1822" s="54" t="s">
        <v>38</v>
      </c>
      <c r="K1822" s="10"/>
    </row>
    <row r="1823" customFormat="false" ht="12.8" hidden="false" customHeight="false" outlineLevel="0" collapsed="false">
      <c r="G1823" s="25" t="n">
        <v>44538</v>
      </c>
      <c r="H1823" s="32" t="s">
        <v>15</v>
      </c>
      <c r="I1823" s="5" t="n">
        <v>-68.48</v>
      </c>
      <c r="J1823" s="54" t="s">
        <v>37</v>
      </c>
      <c r="K1823" s="10"/>
    </row>
    <row r="1824" customFormat="false" ht="12.8" hidden="false" customHeight="false" outlineLevel="0" collapsed="false">
      <c r="G1824" s="25" t="n">
        <v>44539</v>
      </c>
      <c r="H1824" s="26" t="s">
        <v>10</v>
      </c>
      <c r="I1824" s="5" t="n">
        <v>-67</v>
      </c>
      <c r="J1824" s="54" t="s">
        <v>38</v>
      </c>
    </row>
    <row r="1825" customFormat="false" ht="12.8" hidden="false" customHeight="false" outlineLevel="0" collapsed="false">
      <c r="G1825" s="25" t="n">
        <v>44539</v>
      </c>
      <c r="H1825" s="32" t="s">
        <v>15</v>
      </c>
      <c r="I1825" s="5" t="n">
        <v>67</v>
      </c>
      <c r="J1825" s="54" t="s">
        <v>38</v>
      </c>
      <c r="K1825" s="10"/>
    </row>
    <row r="1826" customFormat="false" ht="12.8" hidden="false" customHeight="false" outlineLevel="0" collapsed="false">
      <c r="G1826" s="25" t="n">
        <v>44539</v>
      </c>
      <c r="H1826" s="32" t="s">
        <v>15</v>
      </c>
      <c r="I1826" s="5" t="n">
        <v>-58.14</v>
      </c>
      <c r="J1826" s="54" t="s">
        <v>37</v>
      </c>
      <c r="K1826" s="10"/>
    </row>
    <row r="1827" customFormat="false" ht="12.8" hidden="false" customHeight="false" outlineLevel="0" collapsed="false">
      <c r="G1827" s="25" t="n">
        <v>44540</v>
      </c>
      <c r="H1827" s="26" t="s">
        <v>10</v>
      </c>
      <c r="I1827" s="5" t="n">
        <v>-58</v>
      </c>
      <c r="J1827" s="54" t="s">
        <v>38</v>
      </c>
      <c r="K1827" s="10"/>
    </row>
    <row r="1828" customFormat="false" ht="12.8" hidden="false" customHeight="false" outlineLevel="0" collapsed="false">
      <c r="G1828" s="25" t="n">
        <v>44540</v>
      </c>
      <c r="H1828" s="32" t="s">
        <v>15</v>
      </c>
      <c r="I1828" s="5" t="n">
        <v>58</v>
      </c>
      <c r="J1828" s="54" t="s">
        <v>38</v>
      </c>
      <c r="K1828" s="10"/>
    </row>
    <row r="1829" customFormat="false" ht="12.8" hidden="false" customHeight="false" outlineLevel="0" collapsed="false">
      <c r="G1829" s="25" t="n">
        <v>44540</v>
      </c>
      <c r="H1829" s="32" t="s">
        <v>15</v>
      </c>
      <c r="I1829" s="5" t="n">
        <v>-53.69</v>
      </c>
      <c r="J1829" s="54" t="s">
        <v>37</v>
      </c>
      <c r="K1829" s="10"/>
    </row>
    <row r="1830" customFormat="false" ht="12.8" hidden="false" customHeight="false" outlineLevel="0" collapsed="false">
      <c r="G1830" s="25" t="n">
        <v>44540</v>
      </c>
      <c r="H1830" s="52" t="s">
        <v>14</v>
      </c>
      <c r="I1830" s="5" t="n">
        <v>-100</v>
      </c>
      <c r="J1830" s="10" t="s">
        <v>984</v>
      </c>
      <c r="K1830" s="10"/>
    </row>
    <row r="1831" customFormat="false" ht="12.8" hidden="false" customHeight="false" outlineLevel="0" collapsed="false">
      <c r="G1831" s="25" t="n">
        <v>44540</v>
      </c>
      <c r="H1831" s="48" t="s">
        <v>26</v>
      </c>
      <c r="I1831" s="5" t="n">
        <v>100</v>
      </c>
      <c r="J1831" s="10" t="s">
        <v>38</v>
      </c>
      <c r="K1831" s="10"/>
    </row>
    <row r="1832" customFormat="false" ht="12.8" hidden="false" customHeight="false" outlineLevel="0" collapsed="false">
      <c r="G1832" s="25" t="n">
        <v>44540</v>
      </c>
      <c r="H1832" s="26" t="s">
        <v>10</v>
      </c>
      <c r="I1832" s="5" t="n">
        <v>-30</v>
      </c>
      <c r="J1832" s="54" t="s">
        <v>38</v>
      </c>
      <c r="K1832" s="10"/>
    </row>
    <row r="1833" customFormat="false" ht="12.8" hidden="false" customHeight="false" outlineLevel="0" collapsed="false">
      <c r="G1833" s="25" t="n">
        <v>44540</v>
      </c>
      <c r="H1833" s="32" t="s">
        <v>15</v>
      </c>
      <c r="I1833" s="5" t="n">
        <v>30</v>
      </c>
      <c r="J1833" s="54" t="s">
        <v>38</v>
      </c>
      <c r="K1833" s="10"/>
    </row>
    <row r="1834" customFormat="false" ht="12.8" hidden="false" customHeight="false" outlineLevel="0" collapsed="false">
      <c r="G1834" s="25" t="n">
        <v>44540</v>
      </c>
      <c r="H1834" s="32" t="s">
        <v>15</v>
      </c>
      <c r="I1834" s="5" t="n">
        <v>-37.42</v>
      </c>
      <c r="J1834" s="54" t="s">
        <v>37</v>
      </c>
      <c r="K1834" s="10"/>
    </row>
    <row r="1835" customFormat="false" ht="12.8" hidden="false" customHeight="false" outlineLevel="0" collapsed="false">
      <c r="G1835" s="25" t="n">
        <v>44541</v>
      </c>
      <c r="H1835" s="26" t="s">
        <v>10</v>
      </c>
      <c r="I1835" s="5" t="n">
        <v>-62</v>
      </c>
      <c r="J1835" s="54" t="s">
        <v>38</v>
      </c>
      <c r="K1835" s="10"/>
    </row>
    <row r="1836" customFormat="false" ht="12.8" hidden="false" customHeight="false" outlineLevel="0" collapsed="false">
      <c r="G1836" s="25" t="n">
        <v>44541</v>
      </c>
      <c r="H1836" s="32" t="s">
        <v>15</v>
      </c>
      <c r="I1836" s="5" t="n">
        <v>62</v>
      </c>
      <c r="J1836" s="54" t="s">
        <v>38</v>
      </c>
      <c r="K1836" s="10"/>
    </row>
    <row r="1837" customFormat="false" ht="12.8" hidden="false" customHeight="false" outlineLevel="0" collapsed="false">
      <c r="G1837" s="25" t="n">
        <v>44540</v>
      </c>
      <c r="H1837" s="48" t="s">
        <v>26</v>
      </c>
      <c r="I1837" s="5" t="n">
        <v>-40</v>
      </c>
      <c r="J1837" s="54" t="s">
        <v>977</v>
      </c>
      <c r="K1837" s="10"/>
    </row>
    <row r="1838" customFormat="false" ht="12.8" hidden="false" customHeight="false" outlineLevel="0" collapsed="false">
      <c r="G1838" s="25" t="n">
        <v>44540</v>
      </c>
      <c r="H1838" s="48" t="s">
        <v>26</v>
      </c>
      <c r="I1838" s="5" t="n">
        <v>-40</v>
      </c>
      <c r="J1838" s="54" t="s">
        <v>941</v>
      </c>
      <c r="K1838" s="10"/>
    </row>
    <row r="1839" customFormat="false" ht="12.8" hidden="false" customHeight="false" outlineLevel="0" collapsed="false">
      <c r="G1839" s="25" t="n">
        <v>44541</v>
      </c>
      <c r="H1839" s="32" t="s">
        <v>15</v>
      </c>
      <c r="I1839" s="5" t="n">
        <v>-70.64</v>
      </c>
      <c r="J1839" s="54" t="s">
        <v>37</v>
      </c>
      <c r="K1839" s="10"/>
    </row>
    <row r="1840" customFormat="false" ht="12.8" hidden="false" customHeight="false" outlineLevel="0" collapsed="false">
      <c r="G1840" s="25" t="n">
        <v>44542</v>
      </c>
      <c r="H1840" s="26" t="s">
        <v>10</v>
      </c>
      <c r="I1840" s="5" t="n">
        <v>-71</v>
      </c>
      <c r="J1840" s="54" t="s">
        <v>38</v>
      </c>
      <c r="K1840" s="10"/>
    </row>
    <row r="1841" customFormat="false" ht="12.8" hidden="false" customHeight="false" outlineLevel="0" collapsed="false">
      <c r="G1841" s="25" t="n">
        <v>44542</v>
      </c>
      <c r="H1841" s="32" t="s">
        <v>15</v>
      </c>
      <c r="I1841" s="5" t="n">
        <v>71</v>
      </c>
      <c r="J1841" s="54" t="s">
        <v>38</v>
      </c>
      <c r="K1841" s="10"/>
    </row>
    <row r="1842" customFormat="false" ht="12.8" hidden="false" customHeight="false" outlineLevel="0" collapsed="false">
      <c r="G1842" s="25" t="n">
        <v>44542</v>
      </c>
      <c r="H1842" s="32" t="s">
        <v>15</v>
      </c>
      <c r="I1842" s="5" t="n">
        <v>-69.4</v>
      </c>
      <c r="J1842" s="54" t="s">
        <v>37</v>
      </c>
      <c r="K1842" s="10"/>
    </row>
    <row r="1843" customFormat="false" ht="12.8" hidden="false" customHeight="false" outlineLevel="0" collapsed="false">
      <c r="G1843" s="25" t="n">
        <v>44543</v>
      </c>
      <c r="H1843" s="26" t="s">
        <v>10</v>
      </c>
      <c r="I1843" s="5" t="n">
        <v>-69</v>
      </c>
      <c r="J1843" s="54" t="s">
        <v>38</v>
      </c>
      <c r="K1843" s="10"/>
    </row>
    <row r="1844" customFormat="false" ht="12.8" hidden="false" customHeight="false" outlineLevel="0" collapsed="false">
      <c r="G1844" s="25" t="n">
        <v>44543</v>
      </c>
      <c r="H1844" s="32" t="s">
        <v>15</v>
      </c>
      <c r="I1844" s="5" t="n">
        <v>69</v>
      </c>
      <c r="J1844" s="54" t="s">
        <v>38</v>
      </c>
      <c r="K1844" s="10"/>
    </row>
    <row r="1845" customFormat="false" ht="12.8" hidden="false" customHeight="false" outlineLevel="0" collapsed="false">
      <c r="G1845" s="25" t="n">
        <v>44543</v>
      </c>
      <c r="H1845" s="32" t="s">
        <v>15</v>
      </c>
      <c r="I1845" s="5" t="n">
        <v>-52.8</v>
      </c>
      <c r="J1845" s="54" t="s">
        <v>37</v>
      </c>
      <c r="K1845" s="10"/>
    </row>
    <row r="1846" customFormat="false" ht="12.8" hidden="false" customHeight="false" outlineLevel="0" collapsed="false">
      <c r="G1846" s="25" t="n">
        <v>44544</v>
      </c>
      <c r="H1846" s="26" t="s">
        <v>10</v>
      </c>
      <c r="I1846" s="5" t="n">
        <v>-53</v>
      </c>
      <c r="J1846" s="54" t="s">
        <v>38</v>
      </c>
      <c r="K1846" s="10"/>
    </row>
    <row r="1847" customFormat="false" ht="12.8" hidden="false" customHeight="false" outlineLevel="0" collapsed="false">
      <c r="G1847" s="25" t="n">
        <v>44544</v>
      </c>
      <c r="H1847" s="32" t="s">
        <v>15</v>
      </c>
      <c r="I1847" s="5" t="n">
        <v>53</v>
      </c>
      <c r="J1847" s="54" t="s">
        <v>38</v>
      </c>
      <c r="K1847" s="10"/>
    </row>
    <row r="1848" customFormat="false" ht="12.8" hidden="false" customHeight="false" outlineLevel="0" collapsed="false">
      <c r="G1848" s="25" t="n">
        <v>44544</v>
      </c>
      <c r="H1848" s="32" t="s">
        <v>15</v>
      </c>
      <c r="I1848" s="5" t="n">
        <v>-67.44</v>
      </c>
      <c r="J1848" s="54" t="s">
        <v>37</v>
      </c>
      <c r="K1848" s="10"/>
    </row>
    <row r="1849" customFormat="false" ht="12.8" hidden="false" customHeight="false" outlineLevel="0" collapsed="false">
      <c r="G1849" s="25" t="n">
        <v>44544</v>
      </c>
      <c r="H1849" s="43" t="s">
        <v>23</v>
      </c>
      <c r="I1849" s="5" t="n">
        <v>1386</v>
      </c>
      <c r="J1849" s="54" t="s">
        <v>912</v>
      </c>
      <c r="K1849" s="10"/>
    </row>
    <row r="1850" customFormat="false" ht="12.8" hidden="false" customHeight="false" outlineLevel="0" collapsed="false">
      <c r="G1850" s="25" t="n">
        <v>44544</v>
      </c>
      <c r="H1850" s="43" t="s">
        <v>23</v>
      </c>
      <c r="I1850" s="5" t="n">
        <v>-5</v>
      </c>
      <c r="J1850" s="10" t="s">
        <v>953</v>
      </c>
      <c r="K1850" s="10"/>
    </row>
    <row r="1851" customFormat="false" ht="12.8" hidden="false" customHeight="false" outlineLevel="0" collapsed="false">
      <c r="G1851" s="25" t="n">
        <v>44545</v>
      </c>
      <c r="H1851" s="43" t="s">
        <v>23</v>
      </c>
      <c r="I1851" s="5" t="n">
        <v>-750</v>
      </c>
      <c r="J1851" s="10" t="s">
        <v>44</v>
      </c>
      <c r="K1851" s="10"/>
    </row>
    <row r="1852" customFormat="false" ht="12.8" hidden="false" customHeight="false" outlineLevel="0" collapsed="false">
      <c r="G1852" s="25" t="n">
        <v>44545</v>
      </c>
      <c r="H1852" s="26" t="s">
        <v>10</v>
      </c>
      <c r="I1852" s="5" t="n">
        <v>-67</v>
      </c>
      <c r="J1852" s="54" t="s">
        <v>38</v>
      </c>
      <c r="K1852" s="10"/>
    </row>
    <row r="1853" customFormat="false" ht="12.8" hidden="false" customHeight="false" outlineLevel="0" collapsed="false">
      <c r="G1853" s="25" t="n">
        <v>44545</v>
      </c>
      <c r="H1853" s="32" t="s">
        <v>15</v>
      </c>
      <c r="I1853" s="5" t="n">
        <v>67</v>
      </c>
      <c r="J1853" s="54" t="s">
        <v>38</v>
      </c>
      <c r="K1853" s="10"/>
      <c r="L1853" s="10"/>
    </row>
    <row r="1854" customFormat="false" ht="12.8" hidden="false" customHeight="false" outlineLevel="0" collapsed="false">
      <c r="G1854" s="25" t="n">
        <v>44545</v>
      </c>
      <c r="H1854" s="32" t="s">
        <v>15</v>
      </c>
      <c r="I1854" s="5" t="n">
        <v>-68.36</v>
      </c>
      <c r="J1854" s="54" t="s">
        <v>37</v>
      </c>
      <c r="K1854" s="10"/>
    </row>
    <row r="1855" customFormat="false" ht="12.8" hidden="false" customHeight="false" outlineLevel="0" collapsed="false">
      <c r="G1855" s="25" t="n">
        <v>44545</v>
      </c>
      <c r="H1855" s="43" t="s">
        <v>23</v>
      </c>
      <c r="I1855" s="5" t="n">
        <v>-65</v>
      </c>
      <c r="J1855" s="10" t="s">
        <v>48</v>
      </c>
      <c r="K1855" s="10"/>
    </row>
    <row r="1856" customFormat="false" ht="12.8" hidden="false" customHeight="false" outlineLevel="0" collapsed="false">
      <c r="G1856" s="25" t="n">
        <v>44545</v>
      </c>
      <c r="H1856" s="43" t="s">
        <v>23</v>
      </c>
      <c r="I1856" s="5" t="n">
        <v>-15</v>
      </c>
      <c r="J1856" s="10" t="s">
        <v>954</v>
      </c>
      <c r="K1856" s="10"/>
    </row>
    <row r="1857" customFormat="false" ht="12.8" hidden="false" customHeight="false" outlineLevel="0" collapsed="false">
      <c r="G1857" s="25" t="n">
        <v>44545</v>
      </c>
      <c r="H1857" s="38" t="s">
        <v>21</v>
      </c>
      <c r="I1857" s="5" t="n">
        <v>15</v>
      </c>
      <c r="J1857" s="10" t="s">
        <v>954</v>
      </c>
      <c r="K1857" s="10"/>
    </row>
    <row r="1858" customFormat="false" ht="12.8" hidden="false" customHeight="false" outlineLevel="0" collapsed="false">
      <c r="G1858" s="25" t="n">
        <v>44546</v>
      </c>
      <c r="H1858" s="43" t="s">
        <v>23</v>
      </c>
      <c r="I1858" s="5" t="n">
        <v>500</v>
      </c>
      <c r="J1858" s="54" t="s">
        <v>912</v>
      </c>
      <c r="K1858" s="10"/>
    </row>
    <row r="1859" customFormat="false" ht="12.8" hidden="false" customHeight="false" outlineLevel="0" collapsed="false">
      <c r="G1859" s="25" t="n">
        <v>44546</v>
      </c>
      <c r="H1859" s="26" t="s">
        <v>10</v>
      </c>
      <c r="I1859" s="5" t="n">
        <v>-68</v>
      </c>
      <c r="J1859" s="54" t="s">
        <v>38</v>
      </c>
      <c r="K1859" s="10"/>
    </row>
    <row r="1860" customFormat="false" ht="12.8" hidden="false" customHeight="false" outlineLevel="0" collapsed="false">
      <c r="G1860" s="25" t="n">
        <v>44546</v>
      </c>
      <c r="H1860" s="32" t="s">
        <v>15</v>
      </c>
      <c r="I1860" s="5" t="n">
        <v>68</v>
      </c>
      <c r="J1860" s="54" t="s">
        <v>38</v>
      </c>
      <c r="K1860" s="10"/>
    </row>
    <row r="1861" customFormat="false" ht="12.8" hidden="false" customHeight="false" outlineLevel="0" collapsed="false">
      <c r="G1861" s="25" t="n">
        <v>44546</v>
      </c>
      <c r="H1861" s="32" t="s">
        <v>15</v>
      </c>
      <c r="I1861" s="5" t="n">
        <v>-69.18</v>
      </c>
      <c r="J1861" s="54" t="s">
        <v>37</v>
      </c>
    </row>
    <row r="1862" customFormat="false" ht="12.8" hidden="false" customHeight="false" outlineLevel="0" collapsed="false">
      <c r="G1862" s="25" t="n">
        <v>44547</v>
      </c>
      <c r="H1862" s="26" t="s">
        <v>10</v>
      </c>
      <c r="I1862" s="5" t="n">
        <v>-70</v>
      </c>
      <c r="J1862" s="54" t="s">
        <v>38</v>
      </c>
    </row>
    <row r="1863" customFormat="false" ht="12.8" hidden="false" customHeight="false" outlineLevel="0" collapsed="false">
      <c r="G1863" s="25" t="n">
        <v>44547</v>
      </c>
      <c r="H1863" s="32" t="s">
        <v>15</v>
      </c>
      <c r="I1863" s="5" t="n">
        <v>70</v>
      </c>
      <c r="J1863" s="54" t="s">
        <v>38</v>
      </c>
      <c r="K1863" s="10"/>
    </row>
    <row r="1864" customFormat="false" ht="12.8" hidden="false" customHeight="false" outlineLevel="0" collapsed="false">
      <c r="G1864" s="25" t="n">
        <v>44546</v>
      </c>
      <c r="H1864" s="43" t="s">
        <v>23</v>
      </c>
      <c r="I1864" s="5" t="n">
        <v>-38.38</v>
      </c>
      <c r="J1864" s="54" t="s">
        <v>37</v>
      </c>
      <c r="K1864" s="10"/>
    </row>
    <row r="1865" customFormat="false" ht="12.8" hidden="false" customHeight="false" outlineLevel="0" collapsed="false">
      <c r="G1865" s="25" t="n">
        <v>44547</v>
      </c>
      <c r="H1865" s="32" t="s">
        <v>15</v>
      </c>
      <c r="I1865" s="5" t="n">
        <v>-68.13</v>
      </c>
      <c r="J1865" s="54" t="s">
        <v>37</v>
      </c>
      <c r="K1865" s="10"/>
    </row>
    <row r="1866" customFormat="false" ht="12.8" hidden="false" customHeight="false" outlineLevel="0" collapsed="false">
      <c r="G1866" s="25" t="n">
        <v>44548</v>
      </c>
      <c r="H1866" s="26" t="s">
        <v>10</v>
      </c>
      <c r="I1866" s="5" t="n">
        <v>-67</v>
      </c>
      <c r="J1866" s="54" t="s">
        <v>38</v>
      </c>
      <c r="K1866" s="10"/>
    </row>
    <row r="1867" customFormat="false" ht="12.8" hidden="false" customHeight="false" outlineLevel="0" collapsed="false">
      <c r="G1867" s="25" t="n">
        <v>44548</v>
      </c>
      <c r="H1867" s="32" t="s">
        <v>15</v>
      </c>
      <c r="I1867" s="5" t="n">
        <v>67</v>
      </c>
      <c r="J1867" s="54" t="s">
        <v>38</v>
      </c>
      <c r="K1867" s="10"/>
    </row>
    <row r="1868" customFormat="false" ht="12.8" hidden="false" customHeight="false" outlineLevel="0" collapsed="false">
      <c r="G1868" s="25" t="n">
        <v>44548</v>
      </c>
      <c r="H1868" s="32" t="s">
        <v>15</v>
      </c>
      <c r="I1868" s="5" t="n">
        <v>-69.12</v>
      </c>
      <c r="J1868" s="54" t="s">
        <v>37</v>
      </c>
      <c r="K1868" s="10"/>
    </row>
    <row r="1869" customFormat="false" ht="12.8" hidden="false" customHeight="false" outlineLevel="0" collapsed="false">
      <c r="G1869" s="25" t="n">
        <v>44548</v>
      </c>
      <c r="H1869" s="43" t="s">
        <v>23</v>
      </c>
      <c r="I1869" s="5" t="n">
        <v>-26.73</v>
      </c>
      <c r="J1869" s="54" t="s">
        <v>37</v>
      </c>
      <c r="K1869" s="10"/>
    </row>
    <row r="1870" customFormat="false" ht="12.8" hidden="false" customHeight="false" outlineLevel="0" collapsed="false">
      <c r="G1870" s="25" t="n">
        <v>44549</v>
      </c>
      <c r="H1870" s="26" t="s">
        <v>10</v>
      </c>
      <c r="I1870" s="5" t="n">
        <v>-69</v>
      </c>
      <c r="J1870" s="54" t="s">
        <v>38</v>
      </c>
    </row>
    <row r="1871" customFormat="false" ht="12.8" hidden="false" customHeight="false" outlineLevel="0" collapsed="false">
      <c r="G1871" s="25" t="n">
        <v>44549</v>
      </c>
      <c r="H1871" s="32" t="s">
        <v>15</v>
      </c>
      <c r="I1871" s="5" t="n">
        <v>69</v>
      </c>
      <c r="J1871" s="54" t="s">
        <v>38</v>
      </c>
      <c r="K1871" s="10"/>
    </row>
    <row r="1872" customFormat="false" ht="12.8" hidden="false" customHeight="false" outlineLevel="0" collapsed="false">
      <c r="G1872" s="25" t="n">
        <v>44549</v>
      </c>
      <c r="H1872" s="32" t="s">
        <v>15</v>
      </c>
      <c r="I1872" s="5" t="n">
        <v>-67.99</v>
      </c>
      <c r="J1872" s="54" t="s">
        <v>37</v>
      </c>
      <c r="K1872" s="10"/>
    </row>
    <row r="1873" customFormat="false" ht="12.8" hidden="false" customHeight="false" outlineLevel="0" collapsed="false">
      <c r="G1873" s="25" t="n">
        <v>44550</v>
      </c>
      <c r="H1873" s="26" t="s">
        <v>10</v>
      </c>
      <c r="I1873" s="5" t="n">
        <v>-69</v>
      </c>
      <c r="J1873" s="54" t="s">
        <v>38</v>
      </c>
      <c r="K1873" s="10"/>
    </row>
    <row r="1874" customFormat="false" ht="12.8" hidden="false" customHeight="false" outlineLevel="0" collapsed="false">
      <c r="G1874" s="25" t="n">
        <v>44550</v>
      </c>
      <c r="H1874" s="32" t="s">
        <v>15</v>
      </c>
      <c r="I1874" s="5" t="n">
        <v>69</v>
      </c>
      <c r="J1874" s="54" t="s">
        <v>38</v>
      </c>
      <c r="K1874" s="10"/>
    </row>
    <row r="1875" customFormat="false" ht="12.8" hidden="false" customHeight="false" outlineLevel="0" collapsed="false">
      <c r="G1875" s="25" t="n">
        <v>44550</v>
      </c>
      <c r="H1875" s="32" t="s">
        <v>15</v>
      </c>
      <c r="I1875" s="5" t="n">
        <v>-67.92</v>
      </c>
      <c r="J1875" s="54" t="s">
        <v>37</v>
      </c>
      <c r="K1875" s="10"/>
    </row>
    <row r="1876" customFormat="false" ht="12.8" hidden="false" customHeight="false" outlineLevel="0" collapsed="false">
      <c r="G1876" s="25" t="n">
        <v>44550</v>
      </c>
      <c r="H1876" s="43" t="s">
        <v>23</v>
      </c>
      <c r="I1876" s="5" t="n">
        <v>-19.83</v>
      </c>
      <c r="J1876" s="10" t="s">
        <v>37</v>
      </c>
      <c r="K1876" s="10"/>
    </row>
    <row r="1877" customFormat="false" ht="12.8" hidden="false" customHeight="false" outlineLevel="0" collapsed="false">
      <c r="G1877" s="25" t="n">
        <v>44551</v>
      </c>
      <c r="H1877" s="26" t="s">
        <v>10</v>
      </c>
      <c r="I1877" s="5" t="n">
        <v>-67</v>
      </c>
      <c r="J1877" s="54" t="s">
        <v>38</v>
      </c>
      <c r="K1877" s="10"/>
    </row>
    <row r="1878" customFormat="false" ht="12.8" hidden="false" customHeight="false" outlineLevel="0" collapsed="false">
      <c r="G1878" s="25" t="n">
        <v>44551</v>
      </c>
      <c r="H1878" s="32" t="s">
        <v>15</v>
      </c>
      <c r="I1878" s="5" t="n">
        <v>67</v>
      </c>
      <c r="J1878" s="54" t="s">
        <v>38</v>
      </c>
      <c r="K1878" s="10"/>
    </row>
    <row r="1879" customFormat="false" ht="12.8" hidden="false" customHeight="false" outlineLevel="0" collapsed="false">
      <c r="G1879" s="25" t="n">
        <v>44551</v>
      </c>
      <c r="H1879" s="43" t="s">
        <v>23</v>
      </c>
      <c r="I1879" s="5" t="n">
        <v>-85.36</v>
      </c>
      <c r="J1879" s="10" t="s">
        <v>53</v>
      </c>
      <c r="K1879" s="10"/>
    </row>
    <row r="1880" customFormat="false" ht="12.8" hidden="false" customHeight="false" outlineLevel="0" collapsed="false">
      <c r="G1880" s="25" t="n">
        <v>44551</v>
      </c>
      <c r="H1880" s="32" t="s">
        <v>15</v>
      </c>
      <c r="I1880" s="5" t="n">
        <v>-67.72</v>
      </c>
      <c r="J1880" s="54" t="s">
        <v>37</v>
      </c>
      <c r="K1880" s="10"/>
    </row>
    <row r="1881" customFormat="false" ht="12.8" hidden="false" customHeight="false" outlineLevel="0" collapsed="false">
      <c r="G1881" s="25" t="n">
        <v>44552</v>
      </c>
      <c r="H1881" s="26" t="s">
        <v>10</v>
      </c>
      <c r="I1881" s="5" t="n">
        <v>-68</v>
      </c>
      <c r="J1881" s="54" t="s">
        <v>38</v>
      </c>
      <c r="K1881" s="10"/>
    </row>
    <row r="1882" customFormat="false" ht="12.8" hidden="false" customHeight="false" outlineLevel="0" collapsed="false">
      <c r="G1882" s="25" t="n">
        <v>44552</v>
      </c>
      <c r="H1882" s="32" t="s">
        <v>15</v>
      </c>
      <c r="I1882" s="5" t="n">
        <v>68</v>
      </c>
      <c r="J1882" s="54" t="s">
        <v>38</v>
      </c>
      <c r="K1882" s="10"/>
    </row>
    <row r="1883" customFormat="false" ht="12.8" hidden="false" customHeight="false" outlineLevel="0" collapsed="false">
      <c r="G1883" s="25" t="n">
        <v>44552</v>
      </c>
      <c r="H1883" s="32" t="s">
        <v>15</v>
      </c>
      <c r="I1883" s="5" t="n">
        <v>-69.47</v>
      </c>
      <c r="J1883" s="54" t="s">
        <v>37</v>
      </c>
      <c r="K1883" s="10"/>
    </row>
    <row r="1884" customFormat="false" ht="12.8" hidden="false" customHeight="false" outlineLevel="0" collapsed="false">
      <c r="G1884" s="25" t="n">
        <v>44552</v>
      </c>
      <c r="H1884" s="43" t="s">
        <v>23</v>
      </c>
      <c r="I1884" s="5" t="n">
        <v>250</v>
      </c>
      <c r="J1884" s="10" t="s">
        <v>965</v>
      </c>
      <c r="K1884" s="10"/>
    </row>
    <row r="1885" customFormat="false" ht="12.8" hidden="false" customHeight="false" outlineLevel="0" collapsed="false">
      <c r="G1885" s="25" t="n">
        <v>44552</v>
      </c>
      <c r="H1885" s="43" t="s">
        <v>23</v>
      </c>
      <c r="I1885" s="5" t="n">
        <v>-5</v>
      </c>
      <c r="J1885" s="10" t="s">
        <v>953</v>
      </c>
      <c r="K1885" s="10"/>
    </row>
    <row r="1886" customFormat="false" ht="12.8" hidden="false" customHeight="false" outlineLevel="0" collapsed="false">
      <c r="G1886" s="25" t="n">
        <v>44552</v>
      </c>
      <c r="H1886" s="43" t="s">
        <v>23</v>
      </c>
      <c r="I1886" s="5" t="n">
        <v>-37.51</v>
      </c>
      <c r="J1886" s="10" t="s">
        <v>37</v>
      </c>
      <c r="K1886" s="10"/>
    </row>
    <row r="1887" customFormat="false" ht="12.8" hidden="false" customHeight="false" outlineLevel="0" collapsed="false">
      <c r="G1887" s="25" t="n">
        <v>44553</v>
      </c>
      <c r="H1887" s="43" t="s">
        <v>23</v>
      </c>
      <c r="I1887" s="5" t="n">
        <v>-69.65</v>
      </c>
      <c r="J1887" s="10" t="s">
        <v>37</v>
      </c>
      <c r="K1887" s="10"/>
    </row>
    <row r="1888" customFormat="false" ht="12.8" hidden="false" customHeight="false" outlineLevel="0" collapsed="false">
      <c r="G1888" s="25" t="n">
        <v>44553</v>
      </c>
      <c r="H1888" s="43" t="s">
        <v>23</v>
      </c>
      <c r="I1888" s="5" t="n">
        <v>-390.48</v>
      </c>
      <c r="J1888" s="10" t="s">
        <v>843</v>
      </c>
      <c r="K1888" s="10"/>
    </row>
    <row r="1889" customFormat="false" ht="12.8" hidden="false" customHeight="false" outlineLevel="0" collapsed="false">
      <c r="G1889" s="25" t="n">
        <v>44554</v>
      </c>
      <c r="H1889" s="26" t="s">
        <v>10</v>
      </c>
      <c r="I1889" s="5" t="n">
        <v>-149</v>
      </c>
      <c r="J1889" s="54" t="s">
        <v>38</v>
      </c>
      <c r="K1889" s="10"/>
    </row>
    <row r="1890" customFormat="false" ht="12.8" hidden="false" customHeight="false" outlineLevel="0" collapsed="false">
      <c r="G1890" s="25" t="n">
        <v>44554</v>
      </c>
      <c r="H1890" s="32" t="s">
        <v>15</v>
      </c>
      <c r="I1890" s="5" t="n">
        <v>149</v>
      </c>
      <c r="J1890" s="54" t="s">
        <v>38</v>
      </c>
      <c r="K1890" s="10"/>
    </row>
    <row r="1891" customFormat="false" ht="12.8" hidden="false" customHeight="false" outlineLevel="0" collapsed="false">
      <c r="G1891" s="25" t="n">
        <v>44554</v>
      </c>
      <c r="H1891" s="43" t="s">
        <v>23</v>
      </c>
      <c r="I1891" s="5" t="n">
        <v>-119.81</v>
      </c>
      <c r="J1891" s="10" t="s">
        <v>47</v>
      </c>
      <c r="K1891" s="10"/>
    </row>
    <row r="1892" customFormat="false" ht="12.8" hidden="false" customHeight="false" outlineLevel="0" collapsed="false">
      <c r="G1892" s="25" t="n">
        <v>44554</v>
      </c>
      <c r="H1892" s="43" t="s">
        <v>23</v>
      </c>
      <c r="I1892" s="5" t="n">
        <v>-68.74</v>
      </c>
      <c r="J1892" s="10" t="s">
        <v>37</v>
      </c>
      <c r="K1892" s="10"/>
    </row>
    <row r="1893" customFormat="false" ht="12.8" hidden="false" customHeight="false" outlineLevel="0" collapsed="false">
      <c r="G1893" s="25" t="n">
        <v>44555</v>
      </c>
      <c r="H1893" s="32" t="s">
        <v>15</v>
      </c>
      <c r="I1893" s="5" t="n">
        <v>-150</v>
      </c>
      <c r="J1893" s="54" t="s">
        <v>985</v>
      </c>
      <c r="K1893" s="10"/>
    </row>
    <row r="1894" customFormat="false" ht="12.8" hidden="false" customHeight="false" outlineLevel="0" collapsed="false">
      <c r="G1894" s="25" t="n">
        <v>44555</v>
      </c>
      <c r="H1894" s="43" t="s">
        <v>23</v>
      </c>
      <c r="I1894" s="5" t="n">
        <v>-69.99</v>
      </c>
      <c r="J1894" s="10" t="s">
        <v>37</v>
      </c>
      <c r="K1894" s="10"/>
    </row>
    <row r="1895" customFormat="false" ht="12.8" hidden="false" customHeight="false" outlineLevel="0" collapsed="false">
      <c r="G1895" s="25" t="n">
        <v>44556</v>
      </c>
      <c r="H1895" s="43" t="s">
        <v>23</v>
      </c>
      <c r="I1895" s="5" t="n">
        <v>-59.6</v>
      </c>
      <c r="J1895" s="10" t="s">
        <v>37</v>
      </c>
      <c r="K1895" s="10"/>
    </row>
    <row r="1896" customFormat="false" ht="12.8" hidden="false" customHeight="false" outlineLevel="0" collapsed="false">
      <c r="G1896" s="25" t="n">
        <v>44557</v>
      </c>
      <c r="H1896" s="43" t="s">
        <v>23</v>
      </c>
      <c r="I1896" s="5" t="n">
        <v>-42.25</v>
      </c>
      <c r="J1896" s="10" t="s">
        <v>37</v>
      </c>
      <c r="K1896" s="54"/>
    </row>
    <row r="1897" customFormat="false" ht="12.8" hidden="false" customHeight="false" outlineLevel="0" collapsed="false">
      <c r="G1897" s="25" t="n">
        <v>44557</v>
      </c>
      <c r="H1897" s="43" t="s">
        <v>23</v>
      </c>
      <c r="I1897" s="5" t="n">
        <v>-60</v>
      </c>
      <c r="J1897" s="10" t="s">
        <v>893</v>
      </c>
      <c r="K1897" s="54"/>
    </row>
    <row r="1898" customFormat="false" ht="12.8" hidden="false" customHeight="false" outlineLevel="0" collapsed="false">
      <c r="G1898" s="25" t="n">
        <v>44558</v>
      </c>
      <c r="H1898" s="52" t="s">
        <v>14</v>
      </c>
      <c r="I1898" s="5" t="n">
        <v>2.42</v>
      </c>
      <c r="J1898" s="10" t="s">
        <v>40</v>
      </c>
      <c r="K1898" s="54"/>
    </row>
    <row r="1899" customFormat="false" ht="12.8" hidden="false" customHeight="false" outlineLevel="0" collapsed="false">
      <c r="G1899" s="25" t="n">
        <v>44558</v>
      </c>
      <c r="H1899" s="43" t="s">
        <v>23</v>
      </c>
      <c r="I1899" s="5" t="n">
        <v>-45.86</v>
      </c>
      <c r="J1899" s="10" t="s">
        <v>37</v>
      </c>
      <c r="K1899" s="10"/>
    </row>
    <row r="1900" customFormat="false" ht="12.8" hidden="false" customHeight="false" outlineLevel="0" collapsed="false">
      <c r="G1900" s="25" t="n">
        <v>44559</v>
      </c>
      <c r="H1900" s="43" t="s">
        <v>23</v>
      </c>
      <c r="I1900" s="5" t="n">
        <v>-72.98</v>
      </c>
      <c r="J1900" s="10" t="s">
        <v>37</v>
      </c>
      <c r="K1900" s="10"/>
    </row>
    <row r="1901" customFormat="false" ht="12.8" hidden="false" customHeight="false" outlineLevel="0" collapsed="false">
      <c r="G1901" s="25" t="n">
        <v>44559</v>
      </c>
      <c r="H1901" s="43" t="s">
        <v>23</v>
      </c>
      <c r="I1901" s="5" t="n">
        <v>-28.48</v>
      </c>
      <c r="J1901" s="10" t="s">
        <v>37</v>
      </c>
      <c r="K1901" s="10"/>
    </row>
    <row r="1902" customFormat="false" ht="12.8" hidden="false" customHeight="false" outlineLevel="0" collapsed="false">
      <c r="G1902" s="25" t="n">
        <v>44560</v>
      </c>
      <c r="H1902" s="43" t="s">
        <v>23</v>
      </c>
      <c r="I1902" s="5" t="n">
        <v>-42</v>
      </c>
      <c r="J1902" s="10" t="s">
        <v>37</v>
      </c>
      <c r="K1902" s="10"/>
    </row>
    <row r="1903" customFormat="false" ht="12.8" hidden="false" customHeight="false" outlineLevel="0" collapsed="false">
      <c r="G1903" s="25" t="n">
        <v>44560</v>
      </c>
      <c r="H1903" s="43" t="s">
        <v>23</v>
      </c>
      <c r="I1903" s="5" t="n">
        <v>-18.81</v>
      </c>
      <c r="J1903" s="10" t="s">
        <v>37</v>
      </c>
      <c r="K1903" s="54"/>
    </row>
    <row r="1904" customFormat="false" ht="12.8" hidden="false" customHeight="false" outlineLevel="0" collapsed="false">
      <c r="G1904" s="25" t="n">
        <v>44560</v>
      </c>
      <c r="H1904" s="26" t="s">
        <v>10</v>
      </c>
      <c r="I1904" s="5" t="n">
        <v>-29</v>
      </c>
      <c r="J1904" s="54" t="s">
        <v>38</v>
      </c>
      <c r="K1904" s="54"/>
    </row>
    <row r="1905" customFormat="false" ht="12.8" hidden="false" customHeight="false" outlineLevel="0" collapsed="false">
      <c r="G1905" s="25" t="n">
        <v>44560</v>
      </c>
      <c r="H1905" s="32" t="s">
        <v>15</v>
      </c>
      <c r="I1905" s="5" t="n">
        <v>29</v>
      </c>
      <c r="J1905" s="54" t="s">
        <v>38</v>
      </c>
      <c r="K1905" s="54"/>
    </row>
    <row r="1906" customFormat="false" ht="12.8" hidden="false" customHeight="false" outlineLevel="0" collapsed="false">
      <c r="G1906" s="25" t="n">
        <v>44560</v>
      </c>
      <c r="H1906" s="32" t="s">
        <v>15</v>
      </c>
      <c r="I1906" s="5" t="n">
        <v>-19.05</v>
      </c>
      <c r="J1906" s="54" t="s">
        <v>37</v>
      </c>
      <c r="K1906" s="10"/>
    </row>
    <row r="1907" customFormat="false" ht="12.8" hidden="false" customHeight="false" outlineLevel="0" collapsed="false">
      <c r="G1907" s="25" t="n">
        <v>44560</v>
      </c>
      <c r="H1907" s="52" t="s">
        <v>14</v>
      </c>
      <c r="I1907" s="5" t="n">
        <v>-2000</v>
      </c>
      <c r="J1907" s="10" t="s">
        <v>66</v>
      </c>
      <c r="K1907" s="10"/>
    </row>
    <row r="1908" customFormat="false" ht="12.8" hidden="false" customHeight="false" outlineLevel="0" collapsed="false">
      <c r="G1908" s="25" t="n">
        <v>44560</v>
      </c>
      <c r="H1908" s="48" t="s">
        <v>26</v>
      </c>
      <c r="I1908" s="5" t="n">
        <v>2000</v>
      </c>
      <c r="J1908" s="10" t="s">
        <v>66</v>
      </c>
      <c r="K1908" s="10"/>
    </row>
    <row r="1909" customFormat="false" ht="12.8" hidden="false" customHeight="false" outlineLevel="0" collapsed="false">
      <c r="G1909" s="25" t="n">
        <v>44560</v>
      </c>
      <c r="H1909" s="48" t="s">
        <v>26</v>
      </c>
      <c r="I1909" s="5" t="n">
        <v>-2000</v>
      </c>
      <c r="J1909" s="10" t="s">
        <v>146</v>
      </c>
      <c r="K1909" s="10"/>
    </row>
    <row r="1910" customFormat="false" ht="12.8" hidden="false" customHeight="false" outlineLevel="0" collapsed="false">
      <c r="G1910" s="25" t="n">
        <v>44560</v>
      </c>
      <c r="H1910" s="48" t="s">
        <v>26</v>
      </c>
      <c r="I1910" s="5" t="n">
        <v>-3</v>
      </c>
      <c r="J1910" s="10" t="s">
        <v>986</v>
      </c>
      <c r="K1910" s="54"/>
    </row>
    <row r="1911" customFormat="false" ht="12.8" hidden="false" customHeight="false" outlineLevel="0" collapsed="false">
      <c r="G1911" s="25" t="n">
        <v>44560</v>
      </c>
      <c r="H1911" s="32" t="s">
        <v>15</v>
      </c>
      <c r="I1911" s="5" t="n">
        <v>2000</v>
      </c>
      <c r="J1911" s="54" t="s">
        <v>38</v>
      </c>
      <c r="K1911" s="10"/>
    </row>
    <row r="1912" customFormat="false" ht="12.8" hidden="false" customHeight="false" outlineLevel="0" collapsed="false">
      <c r="G1912" s="25" t="n">
        <v>44560</v>
      </c>
      <c r="H1912" s="32" t="s">
        <v>15</v>
      </c>
      <c r="I1912" s="5" t="n">
        <v>-2000</v>
      </c>
      <c r="J1912" s="54" t="s">
        <v>37</v>
      </c>
      <c r="K1912" s="54"/>
    </row>
    <row r="1913" customFormat="false" ht="12.8" hidden="false" customHeight="false" outlineLevel="0" collapsed="false">
      <c r="G1913" s="25" t="n">
        <v>44560</v>
      </c>
      <c r="H1913" s="26" t="s">
        <v>10</v>
      </c>
      <c r="I1913" s="5" t="n">
        <v>2000</v>
      </c>
      <c r="J1913" s="54" t="s">
        <v>38</v>
      </c>
      <c r="K1913" s="54"/>
    </row>
    <row r="1914" customFormat="false" ht="12.8" hidden="false" customHeight="false" outlineLevel="0" collapsed="false">
      <c r="G1914" s="25" t="n">
        <v>44560</v>
      </c>
      <c r="H1914" s="26" t="s">
        <v>10</v>
      </c>
      <c r="I1914" s="5" t="n">
        <v>-400</v>
      </c>
      <c r="J1914" s="10" t="s">
        <v>937</v>
      </c>
      <c r="K1914" s="10"/>
    </row>
    <row r="1915" customFormat="false" ht="12.8" hidden="false" customHeight="false" outlineLevel="0" collapsed="false">
      <c r="G1915" s="25" t="n">
        <v>44561</v>
      </c>
      <c r="H1915" s="26" t="s">
        <v>10</v>
      </c>
      <c r="I1915" s="5" t="n">
        <v>-71</v>
      </c>
      <c r="J1915" s="54" t="s">
        <v>38</v>
      </c>
      <c r="K1915" s="10"/>
    </row>
    <row r="1916" customFormat="false" ht="12.8" hidden="false" customHeight="false" outlineLevel="0" collapsed="false">
      <c r="G1916" s="25" t="n">
        <v>44561</v>
      </c>
      <c r="H1916" s="32" t="s">
        <v>15</v>
      </c>
      <c r="I1916" s="5" t="n">
        <v>71</v>
      </c>
      <c r="J1916" s="54" t="s">
        <v>38</v>
      </c>
      <c r="K1916" s="10"/>
    </row>
    <row r="1917" customFormat="false" ht="12.8" hidden="false" customHeight="false" outlineLevel="0" collapsed="false">
      <c r="G1917" s="25" t="n">
        <v>44561</v>
      </c>
      <c r="H1917" s="32" t="s">
        <v>15</v>
      </c>
      <c r="I1917" s="5" t="n">
        <v>-75.2</v>
      </c>
      <c r="J1917" s="54" t="s">
        <v>37</v>
      </c>
      <c r="K1917" s="10"/>
    </row>
    <row r="1918" customFormat="false" ht="12.8" hidden="false" customHeight="false" outlineLevel="0" collapsed="false">
      <c r="G1918" s="25" t="n">
        <v>44562</v>
      </c>
      <c r="H1918" s="48" t="s">
        <v>26</v>
      </c>
      <c r="I1918" s="5" t="n">
        <v>-5</v>
      </c>
      <c r="J1918" s="10" t="s">
        <v>881</v>
      </c>
      <c r="K1918" s="10"/>
    </row>
    <row r="1919" customFormat="false" ht="12.8" hidden="false" customHeight="false" outlineLevel="0" collapsed="false">
      <c r="G1919" s="25" t="n">
        <v>44562</v>
      </c>
      <c r="H1919" s="43" t="s">
        <v>23</v>
      </c>
      <c r="I1919" s="5" t="n">
        <v>-5</v>
      </c>
      <c r="J1919" s="10" t="s">
        <v>82</v>
      </c>
      <c r="K1919" s="10"/>
    </row>
    <row r="1920" customFormat="false" ht="12.8" hidden="false" customHeight="false" outlineLevel="0" collapsed="false">
      <c r="G1920" s="25" t="n">
        <v>44562</v>
      </c>
      <c r="H1920" s="26" t="s">
        <v>10</v>
      </c>
      <c r="I1920" s="5" t="n">
        <v>-2066</v>
      </c>
      <c r="J1920" s="54" t="s">
        <v>38</v>
      </c>
      <c r="K1920" s="10"/>
    </row>
    <row r="1921" customFormat="false" ht="12.8" hidden="false" customHeight="false" outlineLevel="0" collapsed="false">
      <c r="G1921" s="25" t="n">
        <v>44562</v>
      </c>
      <c r="H1921" s="32" t="s">
        <v>15</v>
      </c>
      <c r="I1921" s="5" t="n">
        <v>2066</v>
      </c>
      <c r="J1921" s="54" t="s">
        <v>38</v>
      </c>
      <c r="K1921" s="54"/>
    </row>
    <row r="1922" customFormat="false" ht="12.8" hidden="false" customHeight="false" outlineLevel="0" collapsed="false">
      <c r="G1922" s="25" t="n">
        <v>44562</v>
      </c>
      <c r="H1922" s="48" t="s">
        <v>26</v>
      </c>
      <c r="I1922" s="5" t="n">
        <v>-10</v>
      </c>
      <c r="J1922" s="10" t="s">
        <v>82</v>
      </c>
      <c r="K1922" s="10"/>
    </row>
    <row r="1923" customFormat="false" ht="12.8" hidden="false" customHeight="false" outlineLevel="0" collapsed="false">
      <c r="G1923" s="25" t="n">
        <v>44562</v>
      </c>
      <c r="H1923" s="26" t="s">
        <v>10</v>
      </c>
      <c r="I1923" s="5" t="n">
        <v>0.29</v>
      </c>
      <c r="J1923" s="10" t="s">
        <v>945</v>
      </c>
      <c r="K1923" s="10"/>
    </row>
    <row r="1924" customFormat="false" ht="12.8" hidden="false" customHeight="false" outlineLevel="0" collapsed="false">
      <c r="G1924" s="25" t="n">
        <v>44562</v>
      </c>
      <c r="H1924" s="32" t="s">
        <v>15</v>
      </c>
      <c r="I1924" s="5" t="n">
        <v>-66.89</v>
      </c>
      <c r="J1924" s="54" t="s">
        <v>987</v>
      </c>
      <c r="K1924" s="10"/>
    </row>
    <row r="1925" customFormat="false" ht="12.8" hidden="false" customHeight="false" outlineLevel="0" collapsed="false">
      <c r="G1925" s="25" t="n">
        <v>44563</v>
      </c>
      <c r="H1925" s="32" t="s">
        <v>15</v>
      </c>
      <c r="I1925" s="5" t="n">
        <v>-1933.71</v>
      </c>
      <c r="J1925" s="10" t="s">
        <v>959</v>
      </c>
      <c r="K1925" s="10"/>
    </row>
    <row r="1926" customFormat="false" ht="12.8" hidden="false" customHeight="false" outlineLevel="0" collapsed="false">
      <c r="G1926" s="25" t="n">
        <v>44563</v>
      </c>
      <c r="H1926" s="26" t="s">
        <v>10</v>
      </c>
      <c r="I1926" s="5" t="n">
        <v>1933.71</v>
      </c>
      <c r="J1926" s="10" t="s">
        <v>959</v>
      </c>
      <c r="K1926" s="10"/>
    </row>
    <row r="1927" customFormat="false" ht="12.8" hidden="false" customHeight="false" outlineLevel="0" collapsed="false">
      <c r="G1927" s="25" t="n">
        <v>44563</v>
      </c>
      <c r="H1927" s="32" t="s">
        <v>15</v>
      </c>
      <c r="I1927" s="5" t="n">
        <v>-71</v>
      </c>
      <c r="J1927" s="54" t="s">
        <v>37</v>
      </c>
      <c r="K1927" s="10"/>
    </row>
    <row r="1928" customFormat="false" ht="12.8" hidden="false" customHeight="false" outlineLevel="0" collapsed="false">
      <c r="G1928" s="25" t="n">
        <v>44564</v>
      </c>
      <c r="H1928" s="26" t="s">
        <v>10</v>
      </c>
      <c r="I1928" s="5" t="n">
        <v>-90</v>
      </c>
      <c r="J1928" s="54" t="s">
        <v>38</v>
      </c>
      <c r="K1928" s="10"/>
    </row>
    <row r="1929" customFormat="false" ht="12.8" hidden="false" customHeight="false" outlineLevel="0" collapsed="false">
      <c r="G1929" s="25" t="n">
        <v>44564</v>
      </c>
      <c r="H1929" s="32" t="s">
        <v>15</v>
      </c>
      <c r="I1929" s="5" t="n">
        <v>90</v>
      </c>
      <c r="J1929" s="54" t="s">
        <v>38</v>
      </c>
      <c r="K1929" s="54"/>
    </row>
    <row r="1930" customFormat="false" ht="12.8" hidden="false" customHeight="false" outlineLevel="0" collapsed="false">
      <c r="G1930" s="25" t="n">
        <v>44564</v>
      </c>
      <c r="H1930" s="32" t="s">
        <v>15</v>
      </c>
      <c r="I1930" s="5" t="n">
        <v>-74.12</v>
      </c>
      <c r="J1930" s="54" t="s">
        <v>37</v>
      </c>
      <c r="K1930" s="10"/>
    </row>
    <row r="1931" customFormat="false" ht="12.8" hidden="false" customHeight="false" outlineLevel="0" collapsed="false">
      <c r="G1931" s="25" t="n">
        <v>44564</v>
      </c>
      <c r="H1931" s="26" t="s">
        <v>10</v>
      </c>
      <c r="I1931" s="5" t="n">
        <v>-1500</v>
      </c>
      <c r="J1931" s="54" t="s">
        <v>38</v>
      </c>
      <c r="K1931" s="10"/>
    </row>
    <row r="1932" customFormat="false" ht="12.8" hidden="false" customHeight="false" outlineLevel="0" collapsed="false">
      <c r="G1932" s="25" t="n">
        <v>44564</v>
      </c>
      <c r="H1932" s="32" t="s">
        <v>15</v>
      </c>
      <c r="I1932" s="5" t="n">
        <v>1500</v>
      </c>
      <c r="J1932" s="54" t="s">
        <v>38</v>
      </c>
      <c r="K1932" s="10"/>
    </row>
    <row r="1933" customFormat="false" ht="12.8" hidden="false" customHeight="false" outlineLevel="0" collapsed="false">
      <c r="G1933" s="25" t="n">
        <v>44564</v>
      </c>
      <c r="H1933" s="32" t="s">
        <v>15</v>
      </c>
      <c r="I1933" s="5" t="n">
        <v>-1500</v>
      </c>
      <c r="J1933" s="10" t="s">
        <v>988</v>
      </c>
      <c r="K1933" s="10"/>
    </row>
    <row r="1934" customFormat="false" ht="12.8" hidden="false" customHeight="false" outlineLevel="0" collapsed="false">
      <c r="G1934" s="25" t="n">
        <v>44564</v>
      </c>
      <c r="H1934" s="48" t="s">
        <v>26</v>
      </c>
      <c r="I1934" s="5" t="n">
        <v>1500</v>
      </c>
      <c r="J1934" s="10" t="s">
        <v>988</v>
      </c>
      <c r="K1934" s="10"/>
    </row>
    <row r="1935" customFormat="false" ht="12.8" hidden="false" customHeight="false" outlineLevel="0" collapsed="false">
      <c r="G1935" s="25" t="n">
        <v>44564</v>
      </c>
      <c r="H1935" s="48" t="s">
        <v>26</v>
      </c>
      <c r="I1935" s="5" t="n">
        <v>-1500</v>
      </c>
      <c r="J1935" s="10" t="s">
        <v>959</v>
      </c>
      <c r="K1935" s="10"/>
    </row>
    <row r="1936" customFormat="false" ht="12.8" hidden="false" customHeight="false" outlineLevel="0" collapsed="false">
      <c r="G1936" s="25" t="n">
        <v>44564</v>
      </c>
      <c r="H1936" s="52" t="s">
        <v>14</v>
      </c>
      <c r="I1936" s="5" t="n">
        <v>1500</v>
      </c>
      <c r="J1936" s="10" t="s">
        <v>959</v>
      </c>
      <c r="K1936" s="10"/>
    </row>
    <row r="1937" customFormat="false" ht="12.8" hidden="false" customHeight="false" outlineLevel="0" collapsed="false">
      <c r="G1937" s="25" t="n">
        <v>44565</v>
      </c>
      <c r="H1937" s="48" t="s">
        <v>26</v>
      </c>
      <c r="I1937" s="5" t="n">
        <v>2183.51</v>
      </c>
      <c r="J1937" s="10" t="s">
        <v>989</v>
      </c>
      <c r="K1937" s="10"/>
    </row>
    <row r="1938" customFormat="false" ht="12.8" hidden="false" customHeight="false" outlineLevel="0" collapsed="false">
      <c r="G1938" s="25" t="n">
        <v>44565</v>
      </c>
      <c r="H1938" s="32" t="s">
        <v>15</v>
      </c>
      <c r="I1938" s="5" t="n">
        <v>2000</v>
      </c>
      <c r="J1938" s="10" t="s">
        <v>990</v>
      </c>
      <c r="K1938" s="54"/>
    </row>
    <row r="1939" customFormat="false" ht="12.8" hidden="false" customHeight="false" outlineLevel="0" collapsed="false">
      <c r="G1939" s="25" t="n">
        <v>44565</v>
      </c>
      <c r="H1939" s="48" t="s">
        <v>26</v>
      </c>
      <c r="I1939" s="5" t="n">
        <v>-3</v>
      </c>
      <c r="J1939" s="10" t="s">
        <v>887</v>
      </c>
      <c r="K1939" s="10"/>
    </row>
    <row r="1940" customFormat="false" ht="12.8" hidden="false" customHeight="false" outlineLevel="0" collapsed="false">
      <c r="G1940" s="25" t="n">
        <v>44565</v>
      </c>
      <c r="H1940" s="48" t="s">
        <v>26</v>
      </c>
      <c r="I1940" s="5" t="n">
        <v>-2180</v>
      </c>
      <c r="J1940" s="10" t="s">
        <v>949</v>
      </c>
      <c r="K1940" s="54"/>
    </row>
    <row r="1941" customFormat="false" ht="12.8" hidden="false" customHeight="false" outlineLevel="0" collapsed="false">
      <c r="G1941" s="25" t="n">
        <v>44565</v>
      </c>
      <c r="H1941" s="52" t="s">
        <v>14</v>
      </c>
      <c r="I1941" s="5" t="n">
        <v>2180</v>
      </c>
      <c r="J1941" s="10" t="s">
        <v>730</v>
      </c>
      <c r="K1941" s="54"/>
    </row>
    <row r="1942" customFormat="false" ht="12.8" hidden="false" customHeight="false" outlineLevel="0" collapsed="false">
      <c r="G1942" s="25" t="n">
        <v>44565</v>
      </c>
      <c r="H1942" s="52" t="s">
        <v>14</v>
      </c>
      <c r="I1942" s="5" t="n">
        <v>0.64</v>
      </c>
      <c r="J1942" s="10" t="s">
        <v>40</v>
      </c>
      <c r="K1942" s="54"/>
    </row>
    <row r="1943" customFormat="false" ht="12.8" hidden="false" customHeight="false" outlineLevel="0" collapsed="false">
      <c r="G1943" s="25" t="n">
        <v>44565</v>
      </c>
      <c r="H1943" s="38" t="s">
        <v>21</v>
      </c>
      <c r="I1943" s="5" t="n">
        <v>-15</v>
      </c>
      <c r="J1943" s="10" t="s">
        <v>82</v>
      </c>
      <c r="K1943" s="10"/>
    </row>
    <row r="1944" customFormat="false" ht="12.8" hidden="false" customHeight="false" outlineLevel="0" collapsed="false">
      <c r="G1944" s="25" t="n">
        <v>44565</v>
      </c>
      <c r="H1944" s="26" t="s">
        <v>10</v>
      </c>
      <c r="I1944" s="5" t="n">
        <v>-55</v>
      </c>
      <c r="J1944" s="54" t="s">
        <v>38</v>
      </c>
      <c r="K1944" s="10"/>
    </row>
    <row r="1945" customFormat="false" ht="12.8" hidden="false" customHeight="false" outlineLevel="0" collapsed="false">
      <c r="G1945" s="25" t="n">
        <v>44565</v>
      </c>
      <c r="H1945" s="32" t="s">
        <v>15</v>
      </c>
      <c r="I1945" s="5" t="n">
        <v>55</v>
      </c>
      <c r="J1945" s="54" t="s">
        <v>38</v>
      </c>
      <c r="K1945" s="10"/>
    </row>
    <row r="1946" customFormat="false" ht="12.8" hidden="false" customHeight="false" outlineLevel="0" collapsed="false">
      <c r="G1946" s="25" t="n">
        <v>44565</v>
      </c>
      <c r="H1946" s="32" t="s">
        <v>15</v>
      </c>
      <c r="I1946" s="5" t="n">
        <v>-67.78</v>
      </c>
      <c r="J1946" s="54" t="s">
        <v>37</v>
      </c>
      <c r="K1946" s="10"/>
    </row>
    <row r="1947" customFormat="false" ht="12.8" hidden="false" customHeight="false" outlineLevel="0" collapsed="false">
      <c r="G1947" s="25" t="n">
        <v>44565</v>
      </c>
      <c r="H1947" s="32" t="s">
        <v>15</v>
      </c>
      <c r="I1947" s="5" t="n">
        <v>-2000</v>
      </c>
      <c r="J1947" s="10" t="s">
        <v>959</v>
      </c>
      <c r="K1947" s="10"/>
    </row>
    <row r="1948" customFormat="false" ht="12.8" hidden="false" customHeight="false" outlineLevel="0" collapsed="false">
      <c r="G1948" s="25" t="n">
        <v>44565</v>
      </c>
      <c r="H1948" s="26" t="s">
        <v>10</v>
      </c>
      <c r="I1948" s="5" t="n">
        <v>2000</v>
      </c>
      <c r="J1948" s="10" t="s">
        <v>959</v>
      </c>
      <c r="K1948" s="10"/>
    </row>
    <row r="1949" customFormat="false" ht="12.8" hidden="false" customHeight="false" outlineLevel="0" collapsed="false">
      <c r="G1949" s="25" t="n">
        <v>44566</v>
      </c>
      <c r="H1949" s="26" t="s">
        <v>10</v>
      </c>
      <c r="I1949" s="5" t="n">
        <v>-200</v>
      </c>
      <c r="J1949" s="54" t="s">
        <v>38</v>
      </c>
      <c r="K1949" s="10"/>
    </row>
    <row r="1950" customFormat="false" ht="12.8" hidden="false" customHeight="false" outlineLevel="0" collapsed="false">
      <c r="G1950" s="25" t="n">
        <v>44566</v>
      </c>
      <c r="H1950" s="32" t="s">
        <v>15</v>
      </c>
      <c r="I1950" s="5" t="n">
        <v>200</v>
      </c>
      <c r="J1950" s="54" t="s">
        <v>38</v>
      </c>
      <c r="K1950" s="10"/>
    </row>
    <row r="1951" customFormat="false" ht="12.8" hidden="false" customHeight="false" outlineLevel="0" collapsed="false">
      <c r="G1951" s="25" t="n">
        <v>44566</v>
      </c>
      <c r="H1951" s="32" t="s">
        <v>15</v>
      </c>
      <c r="I1951" s="5" t="n">
        <v>-200</v>
      </c>
      <c r="J1951" s="54" t="s">
        <v>950</v>
      </c>
      <c r="K1951" s="10"/>
    </row>
    <row r="1952" customFormat="false" ht="12.8" hidden="false" customHeight="false" outlineLevel="0" collapsed="false">
      <c r="G1952" s="25" t="n">
        <v>44566</v>
      </c>
      <c r="H1952" s="26" t="s">
        <v>10</v>
      </c>
      <c r="I1952" s="5" t="n">
        <v>-68</v>
      </c>
      <c r="J1952" s="54" t="s">
        <v>38</v>
      </c>
      <c r="K1952" s="10"/>
    </row>
    <row r="1953" customFormat="false" ht="12.8" hidden="false" customHeight="false" outlineLevel="0" collapsed="false">
      <c r="G1953" s="25" t="n">
        <v>44566</v>
      </c>
      <c r="H1953" s="32" t="s">
        <v>15</v>
      </c>
      <c r="I1953" s="5" t="n">
        <v>68</v>
      </c>
      <c r="J1953" s="54" t="s">
        <v>38</v>
      </c>
      <c r="K1953" s="10"/>
    </row>
    <row r="1954" customFormat="false" ht="12.8" hidden="false" customHeight="false" outlineLevel="0" collapsed="false">
      <c r="G1954" s="25" t="n">
        <v>44566</v>
      </c>
      <c r="H1954" s="26" t="s">
        <v>10</v>
      </c>
      <c r="I1954" s="5" t="n">
        <v>-10</v>
      </c>
      <c r="J1954" s="54" t="s">
        <v>38</v>
      </c>
      <c r="K1954" s="10"/>
    </row>
    <row r="1955" customFormat="false" ht="12.8" hidden="false" customHeight="false" outlineLevel="0" collapsed="false">
      <c r="G1955" s="25" t="n">
        <v>44566</v>
      </c>
      <c r="H1955" s="32" t="s">
        <v>15</v>
      </c>
      <c r="I1955" s="5" t="n">
        <v>10</v>
      </c>
      <c r="J1955" s="54" t="s">
        <v>38</v>
      </c>
      <c r="K1955" s="10"/>
    </row>
    <row r="1956" customFormat="false" ht="12.8" hidden="false" customHeight="false" outlineLevel="0" collapsed="false">
      <c r="G1956" s="25" t="n">
        <v>44566</v>
      </c>
      <c r="H1956" s="32" t="s">
        <v>15</v>
      </c>
      <c r="I1956" s="5" t="n">
        <v>-78.42</v>
      </c>
      <c r="J1956" s="54" t="s">
        <v>37</v>
      </c>
      <c r="K1956" s="10"/>
    </row>
    <row r="1957" customFormat="false" ht="12.8" hidden="false" customHeight="false" outlineLevel="0" collapsed="false">
      <c r="G1957" s="25" t="n">
        <v>44567</v>
      </c>
      <c r="H1957" s="26" t="s">
        <v>10</v>
      </c>
      <c r="I1957" s="5" t="n">
        <v>-68</v>
      </c>
      <c r="J1957" s="54" t="s">
        <v>38</v>
      </c>
      <c r="K1957" s="10"/>
    </row>
    <row r="1958" customFormat="false" ht="12.8" hidden="false" customHeight="false" outlineLevel="0" collapsed="false">
      <c r="G1958" s="25" t="n">
        <v>44567</v>
      </c>
      <c r="H1958" s="32" t="s">
        <v>15</v>
      </c>
      <c r="I1958" s="5" t="n">
        <v>68</v>
      </c>
      <c r="J1958" s="54" t="s">
        <v>38</v>
      </c>
      <c r="K1958" s="54"/>
    </row>
    <row r="1959" customFormat="false" ht="12.8" hidden="false" customHeight="false" outlineLevel="0" collapsed="false">
      <c r="G1959" s="25" t="n">
        <v>44567</v>
      </c>
      <c r="H1959" s="32" t="s">
        <v>15</v>
      </c>
      <c r="I1959" s="5" t="n">
        <v>-67.17</v>
      </c>
      <c r="J1959" s="54" t="s">
        <v>37</v>
      </c>
      <c r="K1959" s="10"/>
      <c r="L1959" s="10"/>
    </row>
    <row r="1960" customFormat="false" ht="12.8" hidden="false" customHeight="false" outlineLevel="0" collapsed="false">
      <c r="G1960" s="25" t="n">
        <v>44568</v>
      </c>
      <c r="H1960" s="26" t="s">
        <v>10</v>
      </c>
      <c r="I1960" s="5" t="n">
        <v>-68</v>
      </c>
      <c r="J1960" s="54" t="s">
        <v>38</v>
      </c>
      <c r="K1960" s="10"/>
      <c r="L1960" s="10"/>
    </row>
    <row r="1961" customFormat="false" ht="12.8" hidden="false" customHeight="false" outlineLevel="0" collapsed="false">
      <c r="G1961" s="25" t="n">
        <v>44568</v>
      </c>
      <c r="H1961" s="32" t="s">
        <v>15</v>
      </c>
      <c r="I1961" s="5" t="n">
        <v>68</v>
      </c>
      <c r="J1961" s="54" t="s">
        <v>38</v>
      </c>
      <c r="K1961" s="10"/>
      <c r="L1961" s="10"/>
    </row>
    <row r="1962" customFormat="false" ht="12.8" hidden="false" customHeight="false" outlineLevel="0" collapsed="false">
      <c r="G1962" s="25" t="n">
        <v>44568</v>
      </c>
      <c r="H1962" s="32" t="s">
        <v>15</v>
      </c>
      <c r="I1962" s="5" t="n">
        <v>-19.35</v>
      </c>
      <c r="J1962" s="54" t="s">
        <v>841</v>
      </c>
      <c r="K1962" s="10"/>
      <c r="L1962" s="10"/>
      <c r="M1962" s="0"/>
    </row>
    <row r="1963" customFormat="false" ht="12.8" hidden="false" customHeight="false" outlineLevel="0" collapsed="false">
      <c r="G1963" s="25" t="n">
        <v>44568</v>
      </c>
      <c r="H1963" s="32" t="s">
        <v>15</v>
      </c>
      <c r="I1963" s="5" t="n">
        <v>-49.19</v>
      </c>
      <c r="J1963" s="54" t="s">
        <v>37</v>
      </c>
      <c r="K1963" s="10"/>
      <c r="L1963" s="10"/>
    </row>
    <row r="1964" customFormat="false" ht="12.8" hidden="false" customHeight="false" outlineLevel="0" collapsed="false">
      <c r="G1964" s="25" t="n">
        <v>44568</v>
      </c>
      <c r="H1964" s="26" t="s">
        <v>10</v>
      </c>
      <c r="I1964" s="5" t="n">
        <v>-100</v>
      </c>
      <c r="J1964" s="54" t="s">
        <v>38</v>
      </c>
      <c r="K1964" s="10"/>
      <c r="L1964" s="10"/>
    </row>
    <row r="1965" customFormat="false" ht="12.8" hidden="false" customHeight="false" outlineLevel="0" collapsed="false">
      <c r="G1965" s="25" t="n">
        <v>44568</v>
      </c>
      <c r="H1965" s="32" t="s">
        <v>15</v>
      </c>
      <c r="I1965" s="5" t="n">
        <v>100</v>
      </c>
      <c r="J1965" s="54" t="s">
        <v>38</v>
      </c>
      <c r="K1965" s="10"/>
      <c r="L1965" s="10"/>
    </row>
    <row r="1966" customFormat="false" ht="12.8" hidden="false" customHeight="false" outlineLevel="0" collapsed="false">
      <c r="G1966" s="25" t="n">
        <v>44568</v>
      </c>
      <c r="H1966" s="32" t="s">
        <v>15</v>
      </c>
      <c r="I1966" s="5" t="n">
        <v>-82.28</v>
      </c>
      <c r="J1966" s="54" t="s">
        <v>991</v>
      </c>
      <c r="K1966" s="10"/>
      <c r="L1966" s="10"/>
    </row>
    <row r="1967" customFormat="false" ht="12.8" hidden="false" customHeight="false" outlineLevel="0" collapsed="false">
      <c r="G1967" s="25" t="n">
        <v>44569</v>
      </c>
      <c r="H1967" s="26" t="s">
        <v>10</v>
      </c>
      <c r="I1967" s="5" t="n">
        <v>-51</v>
      </c>
      <c r="J1967" s="54" t="s">
        <v>38</v>
      </c>
      <c r="K1967" s="10"/>
      <c r="M1967" s="0"/>
    </row>
    <row r="1968" customFormat="false" ht="12.8" hidden="false" customHeight="false" outlineLevel="0" collapsed="false">
      <c r="G1968" s="25" t="n">
        <v>44569</v>
      </c>
      <c r="H1968" s="32" t="s">
        <v>15</v>
      </c>
      <c r="I1968" s="5" t="n">
        <v>51</v>
      </c>
      <c r="J1968" s="54" t="s">
        <v>38</v>
      </c>
      <c r="K1968" s="54"/>
      <c r="L1968" s="10"/>
      <c r="M1968" s="0"/>
    </row>
    <row r="1969" customFormat="false" ht="12.8" hidden="false" customHeight="false" outlineLevel="0" collapsed="false">
      <c r="G1969" s="25" t="n">
        <v>44569</v>
      </c>
      <c r="H1969" s="32" t="s">
        <v>15</v>
      </c>
      <c r="I1969" s="5" t="n">
        <v>-55.64</v>
      </c>
      <c r="J1969" s="54" t="s">
        <v>37</v>
      </c>
      <c r="K1969" s="10"/>
      <c r="L1969" s="10"/>
      <c r="M1969" s="0"/>
    </row>
    <row r="1970" customFormat="false" ht="12.8" hidden="false" customHeight="false" outlineLevel="0" collapsed="false">
      <c r="G1970" s="25" t="n">
        <v>44570</v>
      </c>
      <c r="H1970" s="26" t="s">
        <v>10</v>
      </c>
      <c r="I1970" s="5" t="n">
        <v>-55</v>
      </c>
      <c r="J1970" s="54" t="s">
        <v>38</v>
      </c>
      <c r="K1970" s="10"/>
      <c r="L1970" s="10"/>
      <c r="M1970" s="0"/>
    </row>
    <row r="1971" customFormat="false" ht="12.8" hidden="false" customHeight="false" outlineLevel="0" collapsed="false">
      <c r="G1971" s="25" t="n">
        <v>44570</v>
      </c>
      <c r="H1971" s="32" t="s">
        <v>15</v>
      </c>
      <c r="I1971" s="5" t="n">
        <v>55</v>
      </c>
      <c r="J1971" s="54" t="s">
        <v>38</v>
      </c>
      <c r="K1971" s="10"/>
      <c r="L1971" s="10"/>
      <c r="M1971" s="0"/>
    </row>
    <row r="1972" customFormat="false" ht="12.8" hidden="false" customHeight="false" outlineLevel="0" collapsed="false">
      <c r="G1972" s="25" t="n">
        <v>44570</v>
      </c>
      <c r="H1972" s="32" t="s">
        <v>15</v>
      </c>
      <c r="I1972" s="5" t="n">
        <v>-69.38</v>
      </c>
      <c r="J1972" s="54" t="s">
        <v>37</v>
      </c>
      <c r="K1972" s="10"/>
      <c r="L1972" s="10"/>
      <c r="M1972" s="0"/>
    </row>
    <row r="1973" customFormat="false" ht="12.8" hidden="false" customHeight="false" outlineLevel="0" collapsed="false">
      <c r="G1973" s="25" t="n">
        <v>44571</v>
      </c>
      <c r="H1973" s="26" t="s">
        <v>10</v>
      </c>
      <c r="I1973" s="5" t="n">
        <v>-70</v>
      </c>
      <c r="J1973" s="54" t="s">
        <v>38</v>
      </c>
      <c r="K1973" s="10"/>
      <c r="L1973" s="10"/>
    </row>
    <row r="1974" customFormat="false" ht="12.8" hidden="false" customHeight="false" outlineLevel="0" collapsed="false">
      <c r="G1974" s="25" t="n">
        <v>44571</v>
      </c>
      <c r="H1974" s="32" t="s">
        <v>15</v>
      </c>
      <c r="I1974" s="5" t="n">
        <v>70</v>
      </c>
      <c r="J1974" s="54" t="s">
        <v>38</v>
      </c>
      <c r="K1974" s="10"/>
      <c r="L1974" s="10"/>
    </row>
    <row r="1975" customFormat="false" ht="12.8" hidden="false" customHeight="false" outlineLevel="0" collapsed="false">
      <c r="G1975" s="25" t="n">
        <v>44571</v>
      </c>
      <c r="H1975" s="32" t="s">
        <v>15</v>
      </c>
      <c r="I1975" s="5" t="n">
        <v>-65.5</v>
      </c>
      <c r="J1975" s="54" t="s">
        <v>37</v>
      </c>
      <c r="K1975" s="10"/>
      <c r="L1975" s="10"/>
    </row>
    <row r="1976" customFormat="false" ht="12.8" hidden="false" customHeight="false" outlineLevel="0" collapsed="false">
      <c r="G1976" s="25" t="n">
        <v>44572</v>
      </c>
      <c r="H1976" s="26" t="s">
        <v>10</v>
      </c>
      <c r="I1976" s="5" t="n">
        <v>-65</v>
      </c>
      <c r="J1976" s="54" t="s">
        <v>38</v>
      </c>
      <c r="K1976" s="10"/>
    </row>
    <row r="1977" customFormat="false" ht="12.8" hidden="false" customHeight="false" outlineLevel="0" collapsed="false">
      <c r="G1977" s="25" t="n">
        <v>44572</v>
      </c>
      <c r="H1977" s="32" t="s">
        <v>15</v>
      </c>
      <c r="I1977" s="5" t="n">
        <v>65</v>
      </c>
      <c r="J1977" s="54" t="s">
        <v>38</v>
      </c>
      <c r="K1977" s="10"/>
    </row>
    <row r="1978" customFormat="false" ht="12.8" hidden="false" customHeight="false" outlineLevel="0" collapsed="false">
      <c r="G1978" s="25" t="n">
        <v>44572</v>
      </c>
      <c r="H1978" s="32" t="s">
        <v>15</v>
      </c>
      <c r="I1978" s="5" t="n">
        <v>-58.77</v>
      </c>
      <c r="J1978" s="54" t="s">
        <v>37</v>
      </c>
      <c r="K1978" s="10"/>
    </row>
    <row r="1979" customFormat="false" ht="12.8" hidden="false" customHeight="false" outlineLevel="0" collapsed="false">
      <c r="G1979" s="25" t="n">
        <v>44573</v>
      </c>
      <c r="H1979" s="26" t="s">
        <v>10</v>
      </c>
      <c r="I1979" s="5" t="n">
        <v>-58</v>
      </c>
      <c r="J1979" s="54" t="s">
        <v>38</v>
      </c>
      <c r="K1979" s="10"/>
    </row>
    <row r="1980" customFormat="false" ht="12.8" hidden="false" customHeight="false" outlineLevel="0" collapsed="false">
      <c r="G1980" s="25" t="n">
        <v>44573</v>
      </c>
      <c r="H1980" s="32" t="s">
        <v>15</v>
      </c>
      <c r="I1980" s="5" t="n">
        <v>58</v>
      </c>
      <c r="J1980" s="54" t="s">
        <v>38</v>
      </c>
      <c r="K1980" s="10"/>
    </row>
    <row r="1981" customFormat="false" ht="12.8" hidden="false" customHeight="false" outlineLevel="0" collapsed="false">
      <c r="G1981" s="25" t="n">
        <v>44573</v>
      </c>
      <c r="H1981" s="32" t="s">
        <v>15</v>
      </c>
      <c r="I1981" s="5" t="n">
        <v>-66.07</v>
      </c>
      <c r="J1981" s="54" t="s">
        <v>37</v>
      </c>
      <c r="K1981" s="10"/>
      <c r="L1981" s="10"/>
    </row>
    <row r="1982" customFormat="false" ht="12.8" hidden="false" customHeight="false" outlineLevel="0" collapsed="false">
      <c r="G1982" s="25" t="n">
        <v>44574</v>
      </c>
      <c r="H1982" s="26" t="s">
        <v>10</v>
      </c>
      <c r="I1982" s="5" t="n">
        <v>-66</v>
      </c>
      <c r="J1982" s="54" t="s">
        <v>38</v>
      </c>
      <c r="K1982" s="10"/>
      <c r="L1982" s="10"/>
    </row>
    <row r="1983" customFormat="false" ht="12.8" hidden="false" customHeight="false" outlineLevel="0" collapsed="false">
      <c r="G1983" s="25" t="n">
        <v>44574</v>
      </c>
      <c r="H1983" s="32" t="s">
        <v>15</v>
      </c>
      <c r="I1983" s="5" t="n">
        <v>66</v>
      </c>
      <c r="J1983" s="54" t="s">
        <v>38</v>
      </c>
      <c r="K1983" s="10"/>
      <c r="L1983" s="10"/>
    </row>
    <row r="1984" customFormat="false" ht="12.8" hidden="false" customHeight="false" outlineLevel="0" collapsed="false">
      <c r="G1984" s="25" t="n">
        <v>44574</v>
      </c>
      <c r="H1984" s="32" t="s">
        <v>15</v>
      </c>
      <c r="I1984" s="5" t="n">
        <v>-64.25</v>
      </c>
      <c r="J1984" s="54" t="s">
        <v>37</v>
      </c>
      <c r="K1984" s="10"/>
      <c r="L1984" s="10"/>
    </row>
    <row r="1985" customFormat="false" ht="12.8" hidden="false" customHeight="false" outlineLevel="0" collapsed="false">
      <c r="G1985" s="25" t="n">
        <v>44575</v>
      </c>
      <c r="H1985" s="26" t="s">
        <v>10</v>
      </c>
      <c r="I1985" s="5" t="n">
        <v>-55</v>
      </c>
      <c r="J1985" s="54" t="s">
        <v>38</v>
      </c>
      <c r="K1985" s="10"/>
      <c r="L1985" s="10"/>
    </row>
    <row r="1986" customFormat="false" ht="12.8" hidden="false" customHeight="false" outlineLevel="0" collapsed="false">
      <c r="G1986" s="25" t="n">
        <v>44575</v>
      </c>
      <c r="H1986" s="32" t="s">
        <v>15</v>
      </c>
      <c r="I1986" s="5" t="n">
        <v>55</v>
      </c>
      <c r="J1986" s="54" t="s">
        <v>38</v>
      </c>
      <c r="K1986" s="10"/>
      <c r="L1986" s="10"/>
    </row>
    <row r="1987" customFormat="false" ht="12.8" hidden="false" customHeight="false" outlineLevel="0" collapsed="false">
      <c r="G1987" s="25" t="n">
        <v>44575</v>
      </c>
      <c r="H1987" s="32" t="s">
        <v>15</v>
      </c>
      <c r="I1987" s="5" t="n">
        <v>-43.56</v>
      </c>
      <c r="J1987" s="54" t="s">
        <v>37</v>
      </c>
      <c r="K1987" s="10"/>
      <c r="L1987" s="10"/>
    </row>
    <row r="1988" customFormat="false" ht="12.8" hidden="false" customHeight="false" outlineLevel="0" collapsed="false">
      <c r="G1988" s="25" t="n">
        <v>44575</v>
      </c>
      <c r="H1988" s="43" t="s">
        <v>23</v>
      </c>
      <c r="I1988" s="5" t="n">
        <v>1386</v>
      </c>
      <c r="J1988" s="54" t="s">
        <v>912</v>
      </c>
      <c r="K1988" s="10"/>
      <c r="L1988" s="10"/>
    </row>
    <row r="1989" customFormat="false" ht="12.8" hidden="false" customHeight="false" outlineLevel="0" collapsed="false">
      <c r="G1989" s="25" t="n">
        <v>44575</v>
      </c>
      <c r="H1989" s="43" t="s">
        <v>23</v>
      </c>
      <c r="I1989" s="5" t="n">
        <v>-5</v>
      </c>
      <c r="J1989" s="54" t="s">
        <v>953</v>
      </c>
      <c r="K1989" s="10"/>
      <c r="L1989" s="10"/>
    </row>
    <row r="1990" customFormat="false" ht="12.8" hidden="false" customHeight="false" outlineLevel="0" collapsed="false">
      <c r="G1990" s="25" t="n">
        <v>44575</v>
      </c>
      <c r="H1990" s="43" t="s">
        <v>23</v>
      </c>
      <c r="I1990" s="5" t="n">
        <v>-745</v>
      </c>
      <c r="J1990" s="54" t="s">
        <v>44</v>
      </c>
      <c r="K1990" s="10"/>
      <c r="L1990" s="10"/>
    </row>
    <row r="1991" customFormat="false" ht="12.8" hidden="false" customHeight="false" outlineLevel="0" collapsed="false">
      <c r="G1991" s="25" t="n">
        <v>44575</v>
      </c>
      <c r="H1991" s="43" t="s">
        <v>23</v>
      </c>
      <c r="I1991" s="5" t="n">
        <v>-114.69</v>
      </c>
      <c r="J1991" s="54" t="s">
        <v>47</v>
      </c>
      <c r="K1991" s="54"/>
      <c r="L1991" s="10"/>
    </row>
    <row r="1992" customFormat="false" ht="12.8" hidden="false" customHeight="false" outlineLevel="0" collapsed="false">
      <c r="G1992" s="25" t="n">
        <v>44575</v>
      </c>
      <c r="H1992" s="43" t="s">
        <v>23</v>
      </c>
      <c r="I1992" s="5" t="n">
        <v>850</v>
      </c>
      <c r="J1992" s="54" t="s">
        <v>912</v>
      </c>
      <c r="K1992" s="10"/>
      <c r="L1992" s="10"/>
    </row>
    <row r="1993" customFormat="false" ht="12.8" hidden="false" customHeight="false" outlineLevel="0" collapsed="false">
      <c r="G1993" s="25" t="n">
        <v>44575</v>
      </c>
      <c r="H1993" s="43" t="s">
        <v>23</v>
      </c>
      <c r="I1993" s="5" t="n">
        <v>-15</v>
      </c>
      <c r="J1993" s="54" t="s">
        <v>992</v>
      </c>
      <c r="K1993" s="10"/>
      <c r="L1993" s="10"/>
    </row>
    <row r="1994" customFormat="false" ht="12.8" hidden="false" customHeight="false" outlineLevel="0" collapsed="false">
      <c r="G1994" s="25" t="n">
        <v>44575</v>
      </c>
      <c r="H1994" s="38" t="s">
        <v>21</v>
      </c>
      <c r="I1994" s="5" t="n">
        <v>15</v>
      </c>
      <c r="J1994" s="54" t="s">
        <v>992</v>
      </c>
      <c r="K1994" s="10"/>
      <c r="L1994" s="10"/>
    </row>
    <row r="1995" customFormat="false" ht="12.8" hidden="false" customHeight="false" outlineLevel="0" collapsed="false">
      <c r="G1995" s="25" t="n">
        <v>44575</v>
      </c>
      <c r="H1995" s="43" t="s">
        <v>23</v>
      </c>
      <c r="I1995" s="5" t="n">
        <v>-50.02</v>
      </c>
      <c r="J1995" s="54" t="s">
        <v>48</v>
      </c>
      <c r="K1995" s="10"/>
      <c r="L1995" s="10"/>
    </row>
    <row r="1996" customFormat="false" ht="12.8" hidden="false" customHeight="false" outlineLevel="0" collapsed="false">
      <c r="G1996" s="25" t="n">
        <v>44576</v>
      </c>
      <c r="H1996" s="26" t="s">
        <v>10</v>
      </c>
      <c r="I1996" s="5" t="n">
        <v>-49</v>
      </c>
      <c r="J1996" s="54" t="s">
        <v>38</v>
      </c>
      <c r="K1996" s="10"/>
      <c r="L1996" s="10"/>
    </row>
    <row r="1997" customFormat="false" ht="12.8" hidden="false" customHeight="false" outlineLevel="0" collapsed="false">
      <c r="G1997" s="25" t="n">
        <v>44576</v>
      </c>
      <c r="H1997" s="32" t="s">
        <v>15</v>
      </c>
      <c r="I1997" s="5" t="n">
        <v>49</v>
      </c>
      <c r="J1997" s="54" t="s">
        <v>38</v>
      </c>
      <c r="K1997" s="10"/>
      <c r="L1997" s="10"/>
    </row>
    <row r="1998" customFormat="false" ht="12.8" hidden="false" customHeight="false" outlineLevel="0" collapsed="false">
      <c r="G1998" s="25" t="n">
        <v>44576</v>
      </c>
      <c r="H1998" s="32" t="s">
        <v>15</v>
      </c>
      <c r="I1998" s="5" t="n">
        <v>-65.89</v>
      </c>
      <c r="J1998" s="54" t="s">
        <v>37</v>
      </c>
      <c r="K1998" s="10"/>
      <c r="L1998" s="10"/>
    </row>
    <row r="1999" customFormat="false" ht="12.8" hidden="false" customHeight="false" outlineLevel="0" collapsed="false">
      <c r="G1999" s="25" t="n">
        <v>44576</v>
      </c>
      <c r="H1999" s="52" t="s">
        <v>14</v>
      </c>
      <c r="I1999" s="5" t="n">
        <v>-100</v>
      </c>
      <c r="J1999" s="10" t="s">
        <v>993</v>
      </c>
      <c r="K1999" s="10"/>
      <c r="L1999" s="10"/>
    </row>
    <row r="2000" customFormat="false" ht="12.8" hidden="false" customHeight="false" outlineLevel="0" collapsed="false">
      <c r="G2000" s="25" t="n">
        <v>44576</v>
      </c>
      <c r="H2000" s="48" t="s">
        <v>26</v>
      </c>
      <c r="I2000" s="5" t="n">
        <v>100</v>
      </c>
      <c r="J2000" s="10" t="s">
        <v>993</v>
      </c>
      <c r="K2000" s="10"/>
      <c r="L2000" s="10"/>
    </row>
    <row r="2001" customFormat="false" ht="12.8" hidden="false" customHeight="false" outlineLevel="0" collapsed="false">
      <c r="G2001" s="25" t="n">
        <v>44576</v>
      </c>
      <c r="H2001" s="43" t="s">
        <v>23</v>
      </c>
      <c r="I2001" s="5" t="n">
        <v>-20.82</v>
      </c>
      <c r="J2001" s="10" t="s">
        <v>37</v>
      </c>
      <c r="K2001" s="10"/>
      <c r="L2001" s="10"/>
    </row>
    <row r="2002" customFormat="false" ht="12.8" hidden="false" customHeight="false" outlineLevel="0" collapsed="false">
      <c r="G2002" s="25" t="n">
        <v>44577</v>
      </c>
      <c r="H2002" s="43" t="s">
        <v>23</v>
      </c>
      <c r="I2002" s="5" t="n">
        <v>-44</v>
      </c>
      <c r="J2002" s="54" t="s">
        <v>44</v>
      </c>
      <c r="K2002" s="10"/>
      <c r="L2002" s="10"/>
      <c r="M2002" s="0"/>
    </row>
    <row r="2003" customFormat="false" ht="12.8" hidden="false" customHeight="false" outlineLevel="0" collapsed="false">
      <c r="G2003" s="25" t="n">
        <v>44577</v>
      </c>
      <c r="H2003" s="43" t="s">
        <v>23</v>
      </c>
      <c r="I2003" s="5" t="n">
        <v>-78.33</v>
      </c>
      <c r="J2003" s="10" t="s">
        <v>37</v>
      </c>
      <c r="K2003" s="10"/>
      <c r="L2003" s="10"/>
      <c r="M2003" s="0"/>
    </row>
    <row r="2004" customFormat="false" ht="12.8" hidden="false" customHeight="false" outlineLevel="0" collapsed="false">
      <c r="G2004" s="25" t="n">
        <v>44578</v>
      </c>
      <c r="H2004" s="43" t="s">
        <v>23</v>
      </c>
      <c r="I2004" s="5" t="n">
        <v>-67.28</v>
      </c>
      <c r="J2004" s="10" t="s">
        <v>37</v>
      </c>
      <c r="K2004" s="10"/>
      <c r="L2004" s="10"/>
      <c r="M2004" s="0"/>
    </row>
    <row r="2005" customFormat="false" ht="12.8" hidden="false" customHeight="false" outlineLevel="0" collapsed="false">
      <c r="G2005" s="25" t="n">
        <v>44579</v>
      </c>
      <c r="H2005" s="43" t="s">
        <v>23</v>
      </c>
      <c r="I2005" s="5" t="n">
        <v>-71.84</v>
      </c>
      <c r="J2005" s="10" t="s">
        <v>37</v>
      </c>
      <c r="K2005" s="10"/>
      <c r="L2005" s="10"/>
      <c r="M2005" s="0"/>
    </row>
    <row r="2006" customFormat="false" ht="12.8" hidden="false" customHeight="false" outlineLevel="0" collapsed="false">
      <c r="G2006" s="25" t="n">
        <v>44579</v>
      </c>
      <c r="H2006" s="43" t="s">
        <v>23</v>
      </c>
      <c r="I2006" s="5" t="n">
        <v>-403.8</v>
      </c>
      <c r="J2006" s="10" t="s">
        <v>843</v>
      </c>
      <c r="K2006" s="10"/>
      <c r="L2006" s="54"/>
    </row>
    <row r="2007" customFormat="false" ht="12.8" hidden="false" customHeight="false" outlineLevel="0" collapsed="false">
      <c r="G2007" s="25" t="n">
        <v>44580</v>
      </c>
      <c r="H2007" s="43" t="s">
        <v>23</v>
      </c>
      <c r="I2007" s="5" t="n">
        <v>-70.62</v>
      </c>
      <c r="J2007" s="10" t="s">
        <v>37</v>
      </c>
      <c r="K2007" s="10"/>
      <c r="L2007" s="54"/>
    </row>
    <row r="2008" customFormat="false" ht="12.8" hidden="false" customHeight="false" outlineLevel="0" collapsed="false">
      <c r="G2008" s="25" t="n">
        <v>44581</v>
      </c>
      <c r="H2008" s="43" t="s">
        <v>23</v>
      </c>
      <c r="I2008" s="5" t="n">
        <v>-71.42</v>
      </c>
      <c r="J2008" s="10" t="s">
        <v>37</v>
      </c>
      <c r="K2008" s="10"/>
      <c r="L2008" s="54"/>
    </row>
    <row r="2009" customFormat="false" ht="12.8" hidden="false" customHeight="false" outlineLevel="0" collapsed="false">
      <c r="G2009" s="25" t="n">
        <v>44581</v>
      </c>
      <c r="H2009" s="48" t="s">
        <v>26</v>
      </c>
      <c r="I2009" s="5" t="n">
        <v>-32.94</v>
      </c>
      <c r="J2009" s="10" t="s">
        <v>37</v>
      </c>
      <c r="K2009" s="10"/>
      <c r="L2009" s="54"/>
    </row>
    <row r="2010" customFormat="false" ht="12.8" hidden="false" customHeight="false" outlineLevel="0" collapsed="false">
      <c r="G2010" s="25" t="n">
        <v>44582</v>
      </c>
      <c r="H2010" s="43" t="s">
        <v>23</v>
      </c>
      <c r="I2010" s="5" t="n">
        <v>-85.28</v>
      </c>
      <c r="J2010" s="10" t="s">
        <v>53</v>
      </c>
      <c r="K2010" s="10"/>
      <c r="L2010" s="54"/>
    </row>
    <row r="2011" customFormat="false" ht="12.8" hidden="false" customHeight="false" outlineLevel="0" collapsed="false">
      <c r="G2011" s="25" t="n">
        <v>44582</v>
      </c>
      <c r="H2011" s="43" t="s">
        <v>23</v>
      </c>
      <c r="I2011" s="5" t="n">
        <v>-78.23</v>
      </c>
      <c r="J2011" s="10" t="s">
        <v>37</v>
      </c>
      <c r="K2011" s="10"/>
      <c r="L2011" s="10"/>
    </row>
    <row r="2012" customFormat="false" ht="12.8" hidden="false" customHeight="false" outlineLevel="0" collapsed="false">
      <c r="G2012" s="25" t="n">
        <v>44583</v>
      </c>
      <c r="H2012" s="43" t="s">
        <v>23</v>
      </c>
      <c r="I2012" s="5" t="n">
        <v>-72.88</v>
      </c>
      <c r="J2012" s="10" t="s">
        <v>37</v>
      </c>
      <c r="K2012" s="10"/>
      <c r="L2012" s="10"/>
    </row>
    <row r="2013" customFormat="false" ht="12.8" hidden="false" customHeight="false" outlineLevel="0" collapsed="false">
      <c r="G2013" s="25" t="n">
        <v>44584</v>
      </c>
      <c r="H2013" s="43" t="s">
        <v>23</v>
      </c>
      <c r="I2013" s="5" t="n">
        <v>-68.88</v>
      </c>
      <c r="J2013" s="10" t="s">
        <v>37</v>
      </c>
      <c r="K2013" s="10"/>
      <c r="L2013" s="10"/>
    </row>
    <row r="2014" customFormat="false" ht="12.8" hidden="false" customHeight="false" outlineLevel="0" collapsed="false">
      <c r="G2014" s="25" t="n">
        <v>44585</v>
      </c>
      <c r="H2014" s="43" t="s">
        <v>23</v>
      </c>
      <c r="I2014" s="5" t="n">
        <v>-67.49</v>
      </c>
      <c r="J2014" s="10" t="s">
        <v>37</v>
      </c>
      <c r="K2014" s="10"/>
      <c r="L2014" s="10"/>
    </row>
    <row r="2015" customFormat="false" ht="12.8" hidden="false" customHeight="false" outlineLevel="0" collapsed="false">
      <c r="G2015" s="25" t="n">
        <v>44585</v>
      </c>
      <c r="H2015" s="26" t="s">
        <v>10</v>
      </c>
      <c r="I2015" s="5" t="n">
        <v>-150</v>
      </c>
      <c r="J2015" s="54" t="s">
        <v>994</v>
      </c>
      <c r="K2015" s="10"/>
      <c r="L2015" s="10"/>
    </row>
    <row r="2016" customFormat="false" ht="12.8" hidden="false" customHeight="false" outlineLevel="0" collapsed="false">
      <c r="G2016" s="25" t="n">
        <v>44585</v>
      </c>
      <c r="H2016" s="32" t="s">
        <v>15</v>
      </c>
      <c r="I2016" s="5" t="n">
        <v>150</v>
      </c>
      <c r="J2016" s="54" t="s">
        <v>994</v>
      </c>
      <c r="K2016" s="10"/>
      <c r="L2016" s="10"/>
    </row>
    <row r="2017" customFormat="false" ht="12.8" hidden="false" customHeight="false" outlineLevel="0" collapsed="false">
      <c r="G2017" s="25" t="n">
        <v>44585</v>
      </c>
      <c r="H2017" s="43" t="s">
        <v>23</v>
      </c>
      <c r="I2017" s="5" t="n">
        <v>-30</v>
      </c>
      <c r="J2017" s="10" t="s">
        <v>952</v>
      </c>
      <c r="K2017" s="10"/>
      <c r="L2017" s="54"/>
    </row>
    <row r="2018" customFormat="false" ht="12.8" hidden="false" customHeight="false" outlineLevel="0" collapsed="false">
      <c r="G2018" s="25" t="n">
        <v>44586</v>
      </c>
      <c r="H2018" s="32" t="s">
        <v>15</v>
      </c>
      <c r="I2018" s="5" t="n">
        <v>-150</v>
      </c>
      <c r="J2018" s="10" t="s">
        <v>995</v>
      </c>
      <c r="K2018" s="10"/>
      <c r="L2018" s="54"/>
    </row>
    <row r="2019" customFormat="false" ht="12.8" hidden="false" customHeight="false" outlineLevel="0" collapsed="false">
      <c r="G2019" s="25" t="n">
        <v>44586</v>
      </c>
      <c r="H2019" s="43" t="s">
        <v>23</v>
      </c>
      <c r="I2019" s="5" t="n">
        <v>-68.45</v>
      </c>
      <c r="J2019" s="10" t="s">
        <v>37</v>
      </c>
      <c r="K2019" s="10"/>
    </row>
    <row r="2020" customFormat="false" ht="12.8" hidden="false" customHeight="false" outlineLevel="0" collapsed="false">
      <c r="G2020" s="25" t="n">
        <v>44587</v>
      </c>
      <c r="H2020" s="26" t="s">
        <v>10</v>
      </c>
      <c r="I2020" s="5" t="n">
        <v>-71</v>
      </c>
      <c r="J2020" s="54" t="s">
        <v>38</v>
      </c>
      <c r="K2020" s="10"/>
    </row>
    <row r="2021" customFormat="false" ht="12.8" hidden="false" customHeight="false" outlineLevel="0" collapsed="false">
      <c r="G2021" s="25" t="n">
        <v>44587</v>
      </c>
      <c r="H2021" s="32" t="s">
        <v>15</v>
      </c>
      <c r="I2021" s="5" t="n">
        <v>71</v>
      </c>
      <c r="J2021" s="54" t="s">
        <v>38</v>
      </c>
      <c r="K2021" s="10"/>
    </row>
    <row r="2022" customFormat="false" ht="12.8" hidden="false" customHeight="false" outlineLevel="0" collapsed="false">
      <c r="G2022" s="25" t="n">
        <v>44587</v>
      </c>
      <c r="H2022" s="32" t="s">
        <v>15</v>
      </c>
      <c r="I2022" s="5" t="n">
        <v>-52.64</v>
      </c>
      <c r="J2022" s="54" t="s">
        <v>37</v>
      </c>
      <c r="K2022" s="10"/>
    </row>
    <row r="2023" customFormat="false" ht="12.8" hidden="false" customHeight="false" outlineLevel="0" collapsed="false">
      <c r="G2023" s="25" t="n">
        <v>44588</v>
      </c>
      <c r="H2023" s="26" t="s">
        <v>10</v>
      </c>
      <c r="I2023" s="5" t="n">
        <v>-52</v>
      </c>
      <c r="J2023" s="54" t="s">
        <v>38</v>
      </c>
      <c r="K2023" s="10"/>
    </row>
    <row r="2024" customFormat="false" ht="12.8" hidden="false" customHeight="false" outlineLevel="0" collapsed="false">
      <c r="G2024" s="25" t="n">
        <v>44588</v>
      </c>
      <c r="H2024" s="32" t="s">
        <v>15</v>
      </c>
      <c r="I2024" s="5" t="n">
        <v>52</v>
      </c>
      <c r="J2024" s="54" t="s">
        <v>38</v>
      </c>
      <c r="K2024" s="10"/>
    </row>
    <row r="2025" customFormat="false" ht="12.8" hidden="false" customHeight="false" outlineLevel="0" collapsed="false">
      <c r="G2025" s="25" t="n">
        <v>44588</v>
      </c>
      <c r="H2025" s="32" t="s">
        <v>15</v>
      </c>
      <c r="I2025" s="5" t="n">
        <v>-65.38</v>
      </c>
      <c r="J2025" s="54" t="s">
        <v>37</v>
      </c>
      <c r="K2025" s="10"/>
      <c r="L2025" s="10"/>
    </row>
    <row r="2026" customFormat="false" ht="12.8" hidden="false" customHeight="false" outlineLevel="0" collapsed="false">
      <c r="G2026" s="25" t="n">
        <v>44588</v>
      </c>
      <c r="H2026" s="43" t="s">
        <v>23</v>
      </c>
      <c r="I2026" s="5" t="n">
        <v>250</v>
      </c>
      <c r="J2026" s="54" t="s">
        <v>912</v>
      </c>
      <c r="K2026" s="10"/>
      <c r="L2026" s="10"/>
    </row>
    <row r="2027" customFormat="false" ht="12.8" hidden="false" customHeight="false" outlineLevel="0" collapsed="false">
      <c r="G2027" s="25" t="n">
        <v>44588</v>
      </c>
      <c r="H2027" s="43" t="s">
        <v>23</v>
      </c>
      <c r="I2027" s="5" t="n">
        <v>-5</v>
      </c>
      <c r="J2027" s="10" t="s">
        <v>953</v>
      </c>
      <c r="K2027" s="10"/>
      <c r="L2027" s="10"/>
    </row>
    <row r="2028" customFormat="false" ht="12.8" hidden="false" customHeight="false" outlineLevel="0" collapsed="false">
      <c r="G2028" s="25" t="n">
        <v>44589</v>
      </c>
      <c r="H2028" s="26" t="s">
        <v>10</v>
      </c>
      <c r="I2028" s="5" t="n">
        <v>-565</v>
      </c>
      <c r="J2028" s="54" t="s">
        <v>38</v>
      </c>
      <c r="K2028" s="10"/>
      <c r="L2028" s="10"/>
    </row>
    <row r="2029" customFormat="false" ht="12.8" hidden="false" customHeight="false" outlineLevel="0" collapsed="false">
      <c r="G2029" s="25" t="n">
        <v>44589</v>
      </c>
      <c r="H2029" s="32" t="s">
        <v>15</v>
      </c>
      <c r="I2029" s="5" t="n">
        <v>565</v>
      </c>
      <c r="J2029" s="54" t="s">
        <v>38</v>
      </c>
      <c r="K2029" s="10"/>
      <c r="L2029" s="10"/>
    </row>
    <row r="2030" customFormat="false" ht="12.8" hidden="false" customHeight="false" outlineLevel="0" collapsed="false">
      <c r="G2030" s="25" t="n">
        <v>44589</v>
      </c>
      <c r="H2030" s="32" t="s">
        <v>15</v>
      </c>
      <c r="I2030" s="5" t="n">
        <v>-500</v>
      </c>
      <c r="J2030" s="10" t="s">
        <v>996</v>
      </c>
      <c r="K2030" s="10"/>
      <c r="L2030" s="10"/>
    </row>
    <row r="2031" customFormat="false" ht="12.8" hidden="false" customHeight="false" outlineLevel="0" collapsed="false">
      <c r="G2031" s="25" t="n">
        <v>44589</v>
      </c>
      <c r="H2031" s="48" t="s">
        <v>26</v>
      </c>
      <c r="I2031" s="5" t="n">
        <v>500</v>
      </c>
      <c r="J2031" s="10" t="s">
        <v>996</v>
      </c>
      <c r="K2031" s="10"/>
      <c r="L2031" s="10"/>
    </row>
    <row r="2032" customFormat="false" ht="12.8" hidden="false" customHeight="false" outlineLevel="0" collapsed="false">
      <c r="G2032" s="25" t="n">
        <v>44589</v>
      </c>
      <c r="H2032" s="32" t="s">
        <v>15</v>
      </c>
      <c r="I2032" s="5" t="n">
        <v>-65.38</v>
      </c>
      <c r="J2032" s="54" t="s">
        <v>37</v>
      </c>
      <c r="K2032" s="10"/>
    </row>
    <row r="2033" customFormat="false" ht="12.8" hidden="false" customHeight="false" outlineLevel="0" collapsed="false">
      <c r="G2033" s="25" t="n">
        <v>44589</v>
      </c>
      <c r="H2033" s="48" t="s">
        <v>26</v>
      </c>
      <c r="I2033" s="5" t="n">
        <v>-50</v>
      </c>
      <c r="J2033" s="10" t="s">
        <v>707</v>
      </c>
      <c r="K2033" s="10"/>
      <c r="L2033" s="10"/>
    </row>
    <row r="2034" customFormat="false" ht="12.8" hidden="false" customHeight="false" outlineLevel="0" collapsed="false">
      <c r="G2034" s="25" t="n">
        <v>44589</v>
      </c>
      <c r="H2034" s="52" t="s">
        <v>14</v>
      </c>
      <c r="I2034" s="5" t="n">
        <v>50</v>
      </c>
      <c r="J2034" s="10" t="s">
        <v>707</v>
      </c>
      <c r="K2034" s="10"/>
      <c r="L2034" s="10"/>
    </row>
    <row r="2035" customFormat="false" ht="12.8" hidden="false" customHeight="false" outlineLevel="0" collapsed="false">
      <c r="G2035" s="25" t="n">
        <v>44589</v>
      </c>
      <c r="H2035" s="48" t="s">
        <v>26</v>
      </c>
      <c r="I2035" s="5" t="n">
        <v>-500</v>
      </c>
      <c r="J2035" s="10" t="s">
        <v>56</v>
      </c>
      <c r="K2035" s="10"/>
      <c r="L2035" s="10"/>
    </row>
    <row r="2036" customFormat="false" ht="12.8" hidden="false" customHeight="false" outlineLevel="0" collapsed="false">
      <c r="G2036" s="25" t="n">
        <v>44589</v>
      </c>
      <c r="H2036" s="52" t="s">
        <v>14</v>
      </c>
      <c r="I2036" s="5" t="n">
        <v>500</v>
      </c>
      <c r="J2036" s="10" t="s">
        <v>56</v>
      </c>
      <c r="K2036" s="54"/>
      <c r="L2036" s="10"/>
    </row>
    <row r="2037" customFormat="false" ht="12.8" hidden="false" customHeight="false" outlineLevel="0" collapsed="false">
      <c r="G2037" s="25" t="n">
        <v>44590</v>
      </c>
      <c r="H2037" s="43" t="s">
        <v>23</v>
      </c>
      <c r="I2037" s="5" t="n">
        <v>-74.92</v>
      </c>
      <c r="J2037" s="10" t="s">
        <v>37</v>
      </c>
      <c r="K2037" s="10"/>
    </row>
    <row r="2038" customFormat="false" ht="12.8" hidden="false" customHeight="false" outlineLevel="0" collapsed="false">
      <c r="G2038" s="25" t="n">
        <v>44591</v>
      </c>
      <c r="H2038" s="43" t="s">
        <v>23</v>
      </c>
      <c r="I2038" s="5" t="n">
        <v>-62.26</v>
      </c>
      <c r="J2038" s="10" t="s">
        <v>37</v>
      </c>
      <c r="K2038" s="10"/>
    </row>
    <row r="2039" customFormat="false" ht="12.8" hidden="false" customHeight="false" outlineLevel="0" collapsed="false">
      <c r="G2039" s="25" t="n">
        <v>44591</v>
      </c>
      <c r="H2039" s="43" t="s">
        <v>23</v>
      </c>
      <c r="I2039" s="5" t="n">
        <v>-5</v>
      </c>
      <c r="J2039" s="10" t="s">
        <v>846</v>
      </c>
      <c r="K2039" s="10"/>
    </row>
    <row r="2040" customFormat="false" ht="12.8" hidden="false" customHeight="false" outlineLevel="0" collapsed="false">
      <c r="G2040" s="25" t="n">
        <v>44592</v>
      </c>
      <c r="H2040" s="43" t="s">
        <v>23</v>
      </c>
      <c r="I2040" s="5" t="n">
        <v>-69.18</v>
      </c>
      <c r="J2040" s="10" t="s">
        <v>37</v>
      </c>
      <c r="K2040" s="10"/>
    </row>
    <row r="2041" customFormat="false" ht="12.8" hidden="false" customHeight="false" outlineLevel="0" collapsed="false">
      <c r="G2041" s="25" t="n">
        <v>44592</v>
      </c>
      <c r="H2041" s="43" t="s">
        <v>23</v>
      </c>
      <c r="I2041" s="5" t="n">
        <v>-36.01</v>
      </c>
      <c r="J2041" s="10" t="s">
        <v>952</v>
      </c>
      <c r="K2041" s="10"/>
    </row>
    <row r="2042" customFormat="false" ht="12.8" hidden="false" customHeight="false" outlineLevel="0" collapsed="false">
      <c r="G2042" s="25" t="n">
        <v>44593</v>
      </c>
      <c r="H2042" s="48" t="s">
        <v>26</v>
      </c>
      <c r="I2042" s="5" t="n">
        <v>-15</v>
      </c>
      <c r="J2042" s="10" t="s">
        <v>846</v>
      </c>
      <c r="K2042" s="10"/>
    </row>
    <row r="2043" customFormat="false" ht="12.8" hidden="false" customHeight="false" outlineLevel="0" collapsed="false">
      <c r="G2043" s="25" t="n">
        <v>44593</v>
      </c>
      <c r="H2043" s="26" t="s">
        <v>10</v>
      </c>
      <c r="I2043" s="5" t="n">
        <v>0.33</v>
      </c>
      <c r="J2043" s="54" t="s">
        <v>945</v>
      </c>
      <c r="K2043" s="10"/>
    </row>
    <row r="2044" customFormat="false" ht="12.8" hidden="false" customHeight="false" outlineLevel="0" collapsed="false">
      <c r="G2044" s="25" t="n">
        <v>44593</v>
      </c>
      <c r="H2044" s="26" t="s">
        <v>10</v>
      </c>
      <c r="I2044" s="5" t="n">
        <v>-66</v>
      </c>
      <c r="J2044" s="54" t="s">
        <v>38</v>
      </c>
      <c r="K2044" s="10"/>
    </row>
    <row r="2045" customFormat="false" ht="12.8" hidden="false" customHeight="false" outlineLevel="0" collapsed="false">
      <c r="G2045" s="25" t="n">
        <v>44593</v>
      </c>
      <c r="H2045" s="32" t="s">
        <v>15</v>
      </c>
      <c r="I2045" s="5" t="n">
        <v>66</v>
      </c>
      <c r="J2045" s="54" t="s">
        <v>38</v>
      </c>
      <c r="K2045" s="10"/>
    </row>
    <row r="2046" customFormat="false" ht="12.8" hidden="false" customHeight="false" outlineLevel="0" collapsed="false">
      <c r="G2046" s="25" t="n">
        <v>44593</v>
      </c>
      <c r="H2046" s="32" t="s">
        <v>15</v>
      </c>
      <c r="I2046" s="5" t="n">
        <v>-70.39</v>
      </c>
      <c r="J2046" s="54" t="s">
        <v>37</v>
      </c>
      <c r="K2046" s="10"/>
    </row>
    <row r="2047" customFormat="false" ht="12.8" hidden="false" customHeight="false" outlineLevel="0" collapsed="false">
      <c r="G2047" s="25" t="n">
        <v>44593</v>
      </c>
      <c r="H2047" s="52" t="s">
        <v>14</v>
      </c>
      <c r="I2047" s="64" t="n">
        <v>3.68</v>
      </c>
      <c r="J2047" s="10" t="s">
        <v>40</v>
      </c>
      <c r="K2047" s="10"/>
    </row>
    <row r="2048" customFormat="false" ht="12.8" hidden="false" customHeight="false" outlineLevel="0" collapsed="false">
      <c r="G2048" s="25" t="n">
        <v>44593</v>
      </c>
      <c r="H2048" s="52" t="s">
        <v>14</v>
      </c>
      <c r="I2048" s="64" t="n">
        <v>-2002</v>
      </c>
      <c r="J2048" s="10" t="s">
        <v>66</v>
      </c>
      <c r="K2048" s="10"/>
    </row>
    <row r="2049" customFormat="false" ht="12.8" hidden="false" customHeight="false" outlineLevel="0" collapsed="false">
      <c r="G2049" s="25" t="n">
        <v>44593</v>
      </c>
      <c r="H2049" s="48" t="s">
        <v>26</v>
      </c>
      <c r="I2049" s="64" t="n">
        <v>2002</v>
      </c>
      <c r="J2049" s="10" t="s">
        <v>66</v>
      </c>
      <c r="K2049" s="10"/>
    </row>
    <row r="2050" customFormat="false" ht="12.8" hidden="false" customHeight="false" outlineLevel="0" collapsed="false">
      <c r="G2050" s="25" t="n">
        <v>44593</v>
      </c>
      <c r="H2050" s="48" t="s">
        <v>26</v>
      </c>
      <c r="I2050" s="64" t="n">
        <v>-2000</v>
      </c>
      <c r="J2050" s="10" t="s">
        <v>146</v>
      </c>
      <c r="K2050" s="10"/>
    </row>
    <row r="2051" customFormat="false" ht="12.8" hidden="false" customHeight="false" outlineLevel="0" collapsed="false">
      <c r="G2051" s="25" t="n">
        <v>44593</v>
      </c>
      <c r="H2051" s="48" t="s">
        <v>26</v>
      </c>
      <c r="I2051" s="64" t="n">
        <v>-3</v>
      </c>
      <c r="J2051" s="10" t="s">
        <v>887</v>
      </c>
      <c r="K2051" s="10"/>
    </row>
    <row r="2052" customFormat="false" ht="12.8" hidden="false" customHeight="false" outlineLevel="0" collapsed="false">
      <c r="G2052" s="25" t="n">
        <v>44593</v>
      </c>
      <c r="H2052" s="32" t="s">
        <v>15</v>
      </c>
      <c r="I2052" s="64" t="n">
        <v>2000</v>
      </c>
      <c r="J2052" s="10" t="s">
        <v>146</v>
      </c>
      <c r="K2052" s="10"/>
    </row>
    <row r="2053" customFormat="false" ht="12.8" hidden="false" customHeight="false" outlineLevel="0" collapsed="false">
      <c r="G2053" s="25" t="n">
        <v>44594</v>
      </c>
      <c r="H2053" s="32" t="s">
        <v>15</v>
      </c>
      <c r="I2053" s="5" t="n">
        <v>-2000</v>
      </c>
      <c r="J2053" s="54" t="s">
        <v>56</v>
      </c>
      <c r="K2053" s="10"/>
    </row>
    <row r="2054" customFormat="false" ht="12.8" hidden="false" customHeight="false" outlineLevel="0" collapsed="false">
      <c r="G2054" s="25" t="n">
        <v>44594</v>
      </c>
      <c r="H2054" s="26" t="s">
        <v>10</v>
      </c>
      <c r="I2054" s="5" t="n">
        <v>2000</v>
      </c>
      <c r="J2054" s="54" t="s">
        <v>56</v>
      </c>
      <c r="K2054" s="10"/>
    </row>
    <row r="2055" customFormat="false" ht="12.8" hidden="false" customHeight="false" outlineLevel="0" collapsed="false">
      <c r="G2055" s="25" t="n">
        <v>44594</v>
      </c>
      <c r="H2055" s="26" t="s">
        <v>10</v>
      </c>
      <c r="I2055" s="5" t="n">
        <v>-51.33</v>
      </c>
      <c r="J2055" s="54" t="s">
        <v>38</v>
      </c>
      <c r="K2055" s="10"/>
    </row>
    <row r="2056" customFormat="false" ht="12.8" hidden="false" customHeight="false" outlineLevel="0" collapsed="false">
      <c r="G2056" s="25" t="n">
        <v>44594</v>
      </c>
      <c r="H2056" s="32" t="s">
        <v>15</v>
      </c>
      <c r="I2056" s="5" t="n">
        <v>51.33</v>
      </c>
      <c r="J2056" s="54" t="s">
        <v>38</v>
      </c>
      <c r="K2056" s="54"/>
    </row>
    <row r="2057" customFormat="false" ht="12.8" hidden="false" customHeight="false" outlineLevel="0" collapsed="false">
      <c r="G2057" s="25" t="n">
        <v>44594</v>
      </c>
      <c r="H2057" s="32" t="s">
        <v>15</v>
      </c>
      <c r="I2057" s="5" t="n">
        <v>-51.13</v>
      </c>
      <c r="J2057" s="54" t="s">
        <v>37</v>
      </c>
      <c r="K2057" s="54"/>
    </row>
    <row r="2058" customFormat="false" ht="12.8" hidden="false" customHeight="false" outlineLevel="0" collapsed="false">
      <c r="G2058" s="25" t="n">
        <v>44594</v>
      </c>
      <c r="H2058" s="26" t="s">
        <v>10</v>
      </c>
      <c r="I2058" s="5" t="n">
        <v>-20</v>
      </c>
      <c r="J2058" s="54" t="s">
        <v>38</v>
      </c>
      <c r="K2058" s="10"/>
    </row>
    <row r="2059" customFormat="false" ht="12.8" hidden="false" customHeight="false" outlineLevel="0" collapsed="false">
      <c r="G2059" s="25" t="n">
        <v>44594</v>
      </c>
      <c r="H2059" s="32" t="s">
        <v>15</v>
      </c>
      <c r="I2059" s="5" t="n">
        <v>20</v>
      </c>
      <c r="J2059" s="54" t="s">
        <v>38</v>
      </c>
      <c r="K2059" s="54"/>
    </row>
    <row r="2060" customFormat="false" ht="12.8" hidden="false" customHeight="false" outlineLevel="0" collapsed="false">
      <c r="G2060" s="25" t="n">
        <v>44594</v>
      </c>
      <c r="H2060" s="32" t="s">
        <v>15</v>
      </c>
      <c r="I2060" s="5" t="n">
        <v>-20.18</v>
      </c>
      <c r="J2060" s="54" t="s">
        <v>37</v>
      </c>
      <c r="K2060" s="10"/>
    </row>
    <row r="2061" customFormat="false" ht="12.8" hidden="false" customHeight="false" outlineLevel="0" collapsed="false">
      <c r="G2061" s="25" t="n">
        <v>44594</v>
      </c>
      <c r="H2061" s="38" t="s">
        <v>21</v>
      </c>
      <c r="I2061" s="5" t="n">
        <v>-15</v>
      </c>
      <c r="J2061" s="10" t="s">
        <v>82</v>
      </c>
      <c r="K2061" s="10"/>
    </row>
    <row r="2062" customFormat="false" ht="12.8" hidden="false" customHeight="false" outlineLevel="0" collapsed="false">
      <c r="G2062" s="25" t="n">
        <v>44595</v>
      </c>
      <c r="H2062" s="48" t="s">
        <v>26</v>
      </c>
      <c r="I2062" s="5" t="n">
        <v>4122.2</v>
      </c>
      <c r="J2062" s="10" t="s">
        <v>997</v>
      </c>
      <c r="K2062" s="10"/>
      <c r="M2062" s="472"/>
    </row>
    <row r="2063" customFormat="false" ht="12.8" hidden="false" customHeight="false" outlineLevel="0" collapsed="false">
      <c r="G2063" s="25" t="n">
        <v>44595</v>
      </c>
      <c r="H2063" s="48" t="s">
        <v>26</v>
      </c>
      <c r="I2063" s="5" t="n">
        <v>-4126</v>
      </c>
      <c r="J2063" s="10" t="s">
        <v>104</v>
      </c>
      <c r="K2063" s="54"/>
    </row>
    <row r="2064" customFormat="false" ht="12.8" hidden="false" customHeight="false" outlineLevel="0" collapsed="false">
      <c r="G2064" s="25" t="n">
        <v>44595</v>
      </c>
      <c r="H2064" s="52" t="s">
        <v>14</v>
      </c>
      <c r="I2064" s="5" t="n">
        <v>4126</v>
      </c>
      <c r="J2064" s="10" t="s">
        <v>949</v>
      </c>
      <c r="K2064" s="54"/>
    </row>
    <row r="2065" customFormat="false" ht="12.8" hidden="false" customHeight="false" outlineLevel="0" collapsed="false">
      <c r="G2065" s="25" t="n">
        <v>44595</v>
      </c>
      <c r="H2065" s="26" t="s">
        <v>10</v>
      </c>
      <c r="I2065" s="5" t="n">
        <v>-70</v>
      </c>
      <c r="J2065" s="54" t="s">
        <v>38</v>
      </c>
      <c r="K2065" s="10"/>
    </row>
    <row r="2066" customFormat="false" ht="12.8" hidden="false" customHeight="false" outlineLevel="0" collapsed="false">
      <c r="G2066" s="25" t="n">
        <v>44595</v>
      </c>
      <c r="H2066" s="32" t="s">
        <v>15</v>
      </c>
      <c r="I2066" s="5" t="n">
        <v>70</v>
      </c>
      <c r="J2066" s="54" t="s">
        <v>38</v>
      </c>
      <c r="K2066" s="10"/>
    </row>
    <row r="2067" customFormat="false" ht="12.8" hidden="false" customHeight="false" outlineLevel="0" collapsed="false">
      <c r="G2067" s="25" t="n">
        <v>44595</v>
      </c>
      <c r="H2067" s="32" t="s">
        <v>15</v>
      </c>
      <c r="I2067" s="5" t="n">
        <v>-65.57</v>
      </c>
      <c r="J2067" s="54" t="s">
        <v>37</v>
      </c>
      <c r="K2067" s="10"/>
    </row>
    <row r="2068" customFormat="false" ht="12.8" hidden="false" customHeight="false" outlineLevel="0" collapsed="false">
      <c r="G2068" s="25" t="n">
        <v>44596</v>
      </c>
      <c r="H2068" s="26" t="s">
        <v>10</v>
      </c>
      <c r="I2068" s="5" t="n">
        <v>-66</v>
      </c>
      <c r="J2068" s="54" t="s">
        <v>38</v>
      </c>
      <c r="K2068" s="10"/>
    </row>
    <row r="2069" customFormat="false" ht="12.8" hidden="false" customHeight="false" outlineLevel="0" collapsed="false">
      <c r="G2069" s="25" t="n">
        <v>44596</v>
      </c>
      <c r="H2069" s="32" t="s">
        <v>15</v>
      </c>
      <c r="I2069" s="5" t="n">
        <v>66</v>
      </c>
      <c r="J2069" s="54" t="s">
        <v>38</v>
      </c>
      <c r="K2069" s="10"/>
    </row>
    <row r="2070" customFormat="false" ht="12.8" hidden="false" customHeight="false" outlineLevel="0" collapsed="false">
      <c r="G2070" s="25" t="n">
        <v>44596</v>
      </c>
      <c r="H2070" s="32" t="s">
        <v>15</v>
      </c>
      <c r="I2070" s="5" t="n">
        <v>-61.6</v>
      </c>
      <c r="J2070" s="54" t="s">
        <v>37</v>
      </c>
      <c r="K2070" s="10"/>
    </row>
    <row r="2071" customFormat="false" ht="12.8" hidden="false" customHeight="false" outlineLevel="0" collapsed="false">
      <c r="G2071" s="25" t="n">
        <v>44597</v>
      </c>
      <c r="H2071" s="26" t="s">
        <v>10</v>
      </c>
      <c r="I2071" s="5" t="n">
        <v>-61</v>
      </c>
      <c r="J2071" s="54" t="s">
        <v>38</v>
      </c>
      <c r="K2071" s="10"/>
    </row>
    <row r="2072" customFormat="false" ht="12.8" hidden="false" customHeight="false" outlineLevel="0" collapsed="false">
      <c r="G2072" s="25" t="n">
        <v>44597</v>
      </c>
      <c r="H2072" s="32" t="s">
        <v>15</v>
      </c>
      <c r="I2072" s="5" t="n">
        <v>61</v>
      </c>
      <c r="J2072" s="54" t="s">
        <v>38</v>
      </c>
      <c r="K2072" s="10"/>
    </row>
    <row r="2073" customFormat="false" ht="12.8" hidden="false" customHeight="false" outlineLevel="0" collapsed="false">
      <c r="G2073" s="25" t="n">
        <v>44597</v>
      </c>
      <c r="H2073" s="32" t="s">
        <v>15</v>
      </c>
      <c r="I2073" s="5" t="n">
        <v>-52.2</v>
      </c>
      <c r="J2073" s="54" t="s">
        <v>37</v>
      </c>
      <c r="K2073" s="10"/>
    </row>
    <row r="2074" customFormat="false" ht="12.8" hidden="false" customHeight="false" outlineLevel="0" collapsed="false">
      <c r="G2074" s="25" t="n">
        <v>44598</v>
      </c>
      <c r="H2074" s="26" t="s">
        <v>10</v>
      </c>
      <c r="I2074" s="5" t="n">
        <v>-53</v>
      </c>
      <c r="J2074" s="54" t="s">
        <v>38</v>
      </c>
      <c r="K2074" s="10"/>
    </row>
    <row r="2075" customFormat="false" ht="12.8" hidden="false" customHeight="false" outlineLevel="0" collapsed="false">
      <c r="G2075" s="25" t="n">
        <v>44598</v>
      </c>
      <c r="H2075" s="32" t="s">
        <v>15</v>
      </c>
      <c r="I2075" s="5" t="n">
        <v>53</v>
      </c>
      <c r="J2075" s="54" t="s">
        <v>38</v>
      </c>
      <c r="K2075" s="10"/>
    </row>
    <row r="2076" customFormat="false" ht="12.8" hidden="false" customHeight="false" outlineLevel="0" collapsed="false">
      <c r="G2076" s="25" t="n">
        <v>44598</v>
      </c>
      <c r="H2076" s="32" t="s">
        <v>15</v>
      </c>
      <c r="I2076" s="5" t="n">
        <v>-70.87</v>
      </c>
      <c r="J2076" s="54" t="s">
        <v>37</v>
      </c>
      <c r="K2076" s="10"/>
    </row>
    <row r="2077" customFormat="false" ht="12.8" hidden="false" customHeight="false" outlineLevel="0" collapsed="false">
      <c r="G2077" s="25" t="n">
        <v>44599</v>
      </c>
      <c r="H2077" s="26" t="s">
        <v>10</v>
      </c>
      <c r="I2077" s="5" t="n">
        <v>-51</v>
      </c>
      <c r="J2077" s="54" t="s">
        <v>38</v>
      </c>
      <c r="K2077" s="10"/>
    </row>
    <row r="2078" customFormat="false" ht="12.8" hidden="false" customHeight="false" outlineLevel="0" collapsed="false">
      <c r="G2078" s="25" t="n">
        <v>44599</v>
      </c>
      <c r="H2078" s="32" t="s">
        <v>15</v>
      </c>
      <c r="I2078" s="5" t="n">
        <v>51</v>
      </c>
      <c r="J2078" s="54" t="s">
        <v>38</v>
      </c>
      <c r="K2078" s="10"/>
    </row>
    <row r="2079" customFormat="false" ht="12.8" hidden="false" customHeight="false" outlineLevel="0" collapsed="false">
      <c r="G2079" s="25" t="n">
        <v>44599</v>
      </c>
      <c r="H2079" s="32" t="s">
        <v>15</v>
      </c>
      <c r="I2079" s="5" t="n">
        <v>-50.15</v>
      </c>
      <c r="J2079" s="54" t="s">
        <v>37</v>
      </c>
      <c r="K2079" s="10"/>
    </row>
    <row r="2080" customFormat="false" ht="12.8" hidden="false" customHeight="false" outlineLevel="0" collapsed="false">
      <c r="G2080" s="25" t="n">
        <v>44600</v>
      </c>
      <c r="H2080" s="26" t="s">
        <v>10</v>
      </c>
      <c r="I2080" s="5" t="n">
        <v>-74</v>
      </c>
      <c r="J2080" s="54" t="s">
        <v>38</v>
      </c>
      <c r="K2080" s="10"/>
    </row>
    <row r="2081" customFormat="false" ht="12.8" hidden="false" customHeight="false" outlineLevel="0" collapsed="false">
      <c r="G2081" s="25" t="n">
        <v>44600</v>
      </c>
      <c r="H2081" s="32" t="s">
        <v>15</v>
      </c>
      <c r="I2081" s="5" t="n">
        <v>74</v>
      </c>
      <c r="J2081" s="54" t="s">
        <v>38</v>
      </c>
      <c r="K2081" s="10"/>
    </row>
    <row r="2082" customFormat="false" ht="12.8" hidden="false" customHeight="false" outlineLevel="0" collapsed="false">
      <c r="G2082" s="25" t="n">
        <v>44600</v>
      </c>
      <c r="H2082" s="32" t="s">
        <v>15</v>
      </c>
      <c r="I2082" s="5" t="n">
        <v>-73.76</v>
      </c>
      <c r="J2082" s="54" t="s">
        <v>37</v>
      </c>
      <c r="K2082" s="10"/>
    </row>
    <row r="2083" customFormat="false" ht="12.8" hidden="false" customHeight="false" outlineLevel="0" collapsed="false">
      <c r="G2083" s="25" t="n">
        <v>44601</v>
      </c>
      <c r="H2083" s="26" t="s">
        <v>10</v>
      </c>
      <c r="I2083" s="5" t="n">
        <v>-54</v>
      </c>
      <c r="J2083" s="54" t="s">
        <v>38</v>
      </c>
      <c r="K2083" s="10"/>
    </row>
    <row r="2084" customFormat="false" ht="12.8" hidden="false" customHeight="false" outlineLevel="0" collapsed="false">
      <c r="G2084" s="25" t="n">
        <v>44601</v>
      </c>
      <c r="H2084" s="32" t="s">
        <v>15</v>
      </c>
      <c r="I2084" s="5" t="n">
        <v>54</v>
      </c>
      <c r="J2084" s="54" t="s">
        <v>38</v>
      </c>
      <c r="K2084" s="10"/>
    </row>
    <row r="2085" customFormat="false" ht="12.8" hidden="false" customHeight="false" outlineLevel="0" collapsed="false">
      <c r="G2085" s="25" t="n">
        <v>44601</v>
      </c>
      <c r="H2085" s="32" t="s">
        <v>15</v>
      </c>
      <c r="I2085" s="5" t="n">
        <v>-51.88</v>
      </c>
      <c r="J2085" s="54" t="s">
        <v>37</v>
      </c>
      <c r="K2085" s="10"/>
    </row>
    <row r="2086" customFormat="false" ht="12.8" hidden="false" customHeight="false" outlineLevel="0" collapsed="false">
      <c r="G2086" s="25" t="n">
        <v>44602</v>
      </c>
      <c r="H2086" s="26" t="s">
        <v>10</v>
      </c>
      <c r="I2086" s="5" t="n">
        <v>-51</v>
      </c>
      <c r="J2086" s="54" t="s">
        <v>38</v>
      </c>
      <c r="K2086" s="10"/>
    </row>
    <row r="2087" customFormat="false" ht="12.8" hidden="false" customHeight="false" outlineLevel="0" collapsed="false">
      <c r="G2087" s="25" t="n">
        <v>44602</v>
      </c>
      <c r="H2087" s="32" t="s">
        <v>15</v>
      </c>
      <c r="I2087" s="5" t="n">
        <v>51</v>
      </c>
      <c r="J2087" s="54" t="s">
        <v>38</v>
      </c>
    </row>
    <row r="2088" customFormat="false" ht="12.8" hidden="false" customHeight="false" outlineLevel="0" collapsed="false">
      <c r="G2088" s="25" t="n">
        <v>44602</v>
      </c>
      <c r="H2088" s="32" t="s">
        <v>15</v>
      </c>
      <c r="I2088" s="5" t="n">
        <v>-52.06</v>
      </c>
      <c r="J2088" s="54" t="s">
        <v>37</v>
      </c>
      <c r="K2088" s="10"/>
    </row>
    <row r="2089" customFormat="false" ht="12.8" hidden="false" customHeight="false" outlineLevel="0" collapsed="false">
      <c r="G2089" s="25" t="n">
        <v>44602</v>
      </c>
      <c r="H2089" s="52" t="s">
        <v>14</v>
      </c>
      <c r="I2089" s="5" t="n">
        <v>-600</v>
      </c>
      <c r="J2089" s="10" t="s">
        <v>946</v>
      </c>
      <c r="K2089" s="10"/>
    </row>
    <row r="2090" customFormat="false" ht="12.8" hidden="false" customHeight="false" outlineLevel="0" collapsed="false">
      <c r="G2090" s="25" t="n">
        <v>44602</v>
      </c>
      <c r="H2090" s="48" t="s">
        <v>26</v>
      </c>
      <c r="I2090" s="5" t="n">
        <v>600</v>
      </c>
      <c r="J2090" s="10" t="s">
        <v>946</v>
      </c>
      <c r="K2090" s="10"/>
    </row>
    <row r="2091" customFormat="false" ht="12.8" hidden="false" customHeight="false" outlineLevel="0" collapsed="false">
      <c r="G2091" s="25" t="n">
        <v>44602</v>
      </c>
      <c r="H2091" s="48" t="s">
        <v>26</v>
      </c>
      <c r="I2091" s="5" t="n">
        <v>-329.01</v>
      </c>
      <c r="J2091" s="10" t="s">
        <v>998</v>
      </c>
      <c r="K2091" s="10"/>
    </row>
    <row r="2092" customFormat="false" ht="12.8" hidden="false" customHeight="false" outlineLevel="0" collapsed="false">
      <c r="G2092" s="25" t="n">
        <v>44602</v>
      </c>
      <c r="H2092" s="48" t="s">
        <v>26</v>
      </c>
      <c r="I2092" s="5" t="n">
        <v>-180</v>
      </c>
      <c r="J2092" s="10" t="s">
        <v>952</v>
      </c>
      <c r="K2092" s="10"/>
    </row>
    <row r="2093" customFormat="false" ht="12.8" hidden="false" customHeight="false" outlineLevel="0" collapsed="false">
      <c r="G2093" s="25" t="n">
        <v>44603</v>
      </c>
      <c r="H2093" s="26" t="s">
        <v>10</v>
      </c>
      <c r="I2093" s="5" t="n">
        <v>-68</v>
      </c>
      <c r="J2093" s="54" t="s">
        <v>38</v>
      </c>
      <c r="K2093" s="10"/>
    </row>
    <row r="2094" customFormat="false" ht="12.8" hidden="false" customHeight="false" outlineLevel="0" collapsed="false">
      <c r="G2094" s="25" t="n">
        <v>44603</v>
      </c>
      <c r="H2094" s="32" t="s">
        <v>15</v>
      </c>
      <c r="I2094" s="5" t="n">
        <v>68</v>
      </c>
      <c r="J2094" s="54" t="s">
        <v>38</v>
      </c>
      <c r="K2094" s="10"/>
    </row>
    <row r="2095" customFormat="false" ht="12.8" hidden="false" customHeight="false" outlineLevel="0" collapsed="false">
      <c r="G2095" s="25" t="n">
        <v>44603</v>
      </c>
      <c r="H2095" s="32" t="s">
        <v>15</v>
      </c>
      <c r="I2095" s="5" t="n">
        <v>-66.89</v>
      </c>
      <c r="J2095" s="54" t="s">
        <v>37</v>
      </c>
      <c r="K2095" s="10"/>
      <c r="L2095" s="10"/>
    </row>
    <row r="2096" customFormat="false" ht="12.8" hidden="false" customHeight="false" outlineLevel="0" collapsed="false">
      <c r="G2096" s="25" t="n">
        <v>44603</v>
      </c>
      <c r="H2096" s="48" t="s">
        <v>26</v>
      </c>
      <c r="I2096" s="5" t="n">
        <v>-20</v>
      </c>
      <c r="J2096" s="10" t="s">
        <v>999</v>
      </c>
      <c r="K2096" s="10"/>
      <c r="L2096" s="10"/>
    </row>
    <row r="2097" customFormat="false" ht="12.8" hidden="false" customHeight="false" outlineLevel="0" collapsed="false">
      <c r="G2097" s="25" t="n">
        <v>44604</v>
      </c>
      <c r="H2097" s="26" t="s">
        <v>10</v>
      </c>
      <c r="I2097" s="5" t="n">
        <v>-51</v>
      </c>
      <c r="J2097" s="54" t="s">
        <v>38</v>
      </c>
      <c r="K2097" s="10"/>
      <c r="L2097" s="10"/>
    </row>
    <row r="2098" customFormat="false" ht="12.8" hidden="false" customHeight="false" outlineLevel="0" collapsed="false">
      <c r="G2098" s="25" t="n">
        <v>44604</v>
      </c>
      <c r="H2098" s="32" t="s">
        <v>15</v>
      </c>
      <c r="I2098" s="5" t="n">
        <v>51</v>
      </c>
      <c r="J2098" s="54" t="s">
        <v>38</v>
      </c>
      <c r="K2098" s="10"/>
      <c r="L2098" s="10"/>
    </row>
    <row r="2099" customFormat="false" ht="12.8" hidden="false" customHeight="false" outlineLevel="0" collapsed="false">
      <c r="G2099" s="25" t="n">
        <v>44604</v>
      </c>
      <c r="H2099" s="32" t="s">
        <v>15</v>
      </c>
      <c r="I2099" s="5" t="n">
        <v>-47.84</v>
      </c>
      <c r="J2099" s="54" t="s">
        <v>37</v>
      </c>
      <c r="K2099" s="10"/>
    </row>
    <row r="2100" customFormat="false" ht="12.8" hidden="false" customHeight="false" outlineLevel="0" collapsed="false">
      <c r="G2100" s="25" t="n">
        <v>44605</v>
      </c>
      <c r="H2100" s="26" t="s">
        <v>10</v>
      </c>
      <c r="I2100" s="5" t="n">
        <v>-64</v>
      </c>
      <c r="J2100" s="54" t="s">
        <v>38</v>
      </c>
      <c r="K2100" s="10"/>
    </row>
    <row r="2101" customFormat="false" ht="12.8" hidden="false" customHeight="false" outlineLevel="0" collapsed="false">
      <c r="G2101" s="25" t="n">
        <v>44605</v>
      </c>
      <c r="H2101" s="32" t="s">
        <v>15</v>
      </c>
      <c r="I2101" s="5" t="n">
        <v>64</v>
      </c>
      <c r="J2101" s="54" t="s">
        <v>38</v>
      </c>
      <c r="K2101" s="10"/>
    </row>
    <row r="2102" customFormat="false" ht="12.8" hidden="false" customHeight="false" outlineLevel="0" collapsed="false">
      <c r="G2102" s="25" t="n">
        <v>44605</v>
      </c>
      <c r="H2102" s="32" t="s">
        <v>15</v>
      </c>
      <c r="I2102" s="5" t="n">
        <v>-70.5</v>
      </c>
      <c r="J2102" s="54" t="s">
        <v>37</v>
      </c>
      <c r="K2102" s="10"/>
    </row>
    <row r="2103" customFormat="false" ht="12.8" hidden="false" customHeight="false" outlineLevel="0" collapsed="false">
      <c r="G2103" s="25" t="n">
        <v>44606</v>
      </c>
      <c r="H2103" s="26" t="s">
        <v>10</v>
      </c>
      <c r="I2103" s="5" t="n">
        <v>-71</v>
      </c>
      <c r="J2103" s="54" t="s">
        <v>38</v>
      </c>
      <c r="K2103" s="10"/>
    </row>
    <row r="2104" customFormat="false" ht="12.8" hidden="false" customHeight="false" outlineLevel="0" collapsed="false">
      <c r="G2104" s="25" t="n">
        <v>44606</v>
      </c>
      <c r="H2104" s="32" t="s">
        <v>15</v>
      </c>
      <c r="I2104" s="5" t="n">
        <v>71</v>
      </c>
      <c r="J2104" s="54" t="s">
        <v>38</v>
      </c>
      <c r="K2104" s="10"/>
    </row>
    <row r="2105" customFormat="false" ht="12.8" hidden="false" customHeight="false" outlineLevel="0" collapsed="false">
      <c r="G2105" s="25" t="n">
        <v>44606</v>
      </c>
      <c r="H2105" s="32" t="s">
        <v>15</v>
      </c>
      <c r="I2105" s="5" t="n">
        <v>-69.7</v>
      </c>
      <c r="J2105" s="54" t="s">
        <v>37</v>
      </c>
      <c r="K2105" s="10"/>
    </row>
    <row r="2106" customFormat="false" ht="12.8" hidden="false" customHeight="false" outlineLevel="0" collapsed="false">
      <c r="G2106" s="25" t="n">
        <v>44607</v>
      </c>
      <c r="H2106" s="26" t="s">
        <v>10</v>
      </c>
      <c r="I2106" s="5" t="n">
        <v>-68</v>
      </c>
      <c r="J2106" s="54" t="s">
        <v>38</v>
      </c>
      <c r="K2106" s="10"/>
    </row>
    <row r="2107" customFormat="false" ht="12.8" hidden="false" customHeight="false" outlineLevel="0" collapsed="false">
      <c r="G2107" s="25" t="n">
        <v>44607</v>
      </c>
      <c r="H2107" s="32" t="s">
        <v>15</v>
      </c>
      <c r="I2107" s="5" t="n">
        <v>68</v>
      </c>
      <c r="J2107" s="54" t="s">
        <v>38</v>
      </c>
      <c r="K2107" s="10"/>
    </row>
    <row r="2108" customFormat="false" ht="12.8" hidden="false" customHeight="false" outlineLevel="0" collapsed="false">
      <c r="G2108" s="25" t="n">
        <v>44607</v>
      </c>
      <c r="H2108" s="32" t="s">
        <v>15</v>
      </c>
      <c r="I2108" s="5" t="n">
        <v>-54.49</v>
      </c>
      <c r="J2108" s="54" t="s">
        <v>37</v>
      </c>
      <c r="K2108" s="10"/>
    </row>
    <row r="2109" customFormat="false" ht="12.8" hidden="false" customHeight="false" outlineLevel="0" collapsed="false">
      <c r="G2109" s="25" t="n">
        <v>44607</v>
      </c>
      <c r="H2109" s="43" t="s">
        <v>23</v>
      </c>
      <c r="I2109" s="5" t="n">
        <v>500</v>
      </c>
      <c r="J2109" s="54" t="s">
        <v>912</v>
      </c>
      <c r="K2109" s="10"/>
    </row>
    <row r="2110" customFormat="false" ht="12.8" hidden="false" customHeight="false" outlineLevel="0" collapsed="false">
      <c r="G2110" s="25" t="n">
        <v>44607</v>
      </c>
      <c r="H2110" s="43" t="s">
        <v>23</v>
      </c>
      <c r="I2110" s="5" t="n">
        <v>1524</v>
      </c>
      <c r="J2110" s="10" t="s">
        <v>912</v>
      </c>
      <c r="K2110" s="10"/>
    </row>
    <row r="2111" customFormat="false" ht="12.8" hidden="false" customHeight="false" outlineLevel="0" collapsed="false">
      <c r="G2111" s="25" t="n">
        <v>44607</v>
      </c>
      <c r="H2111" s="43" t="s">
        <v>23</v>
      </c>
      <c r="I2111" s="5" t="n">
        <v>-5</v>
      </c>
      <c r="J2111" s="10" t="s">
        <v>953</v>
      </c>
      <c r="K2111" s="10"/>
    </row>
    <row r="2112" customFormat="false" ht="12.8" hidden="false" customHeight="false" outlineLevel="0" collapsed="false">
      <c r="G2112" s="25" t="n">
        <v>44607</v>
      </c>
      <c r="H2112" s="43" t="s">
        <v>23</v>
      </c>
      <c r="I2112" s="5" t="n">
        <v>-760</v>
      </c>
      <c r="J2112" s="10" t="s">
        <v>848</v>
      </c>
      <c r="K2112" s="10"/>
    </row>
    <row r="2113" customFormat="false" ht="12.8" hidden="false" customHeight="false" outlineLevel="0" collapsed="false">
      <c r="G2113" s="25" t="n">
        <v>44607</v>
      </c>
      <c r="H2113" s="43" t="s">
        <v>23</v>
      </c>
      <c r="I2113" s="5" t="n">
        <v>-15</v>
      </c>
      <c r="J2113" s="10" t="s">
        <v>858</v>
      </c>
      <c r="K2113" s="10"/>
      <c r="L2113" s="10"/>
    </row>
    <row r="2114" customFormat="false" ht="12.8" hidden="false" customHeight="false" outlineLevel="0" collapsed="false">
      <c r="G2114" s="25" t="n">
        <v>44607</v>
      </c>
      <c r="H2114" s="38" t="s">
        <v>21</v>
      </c>
      <c r="I2114" s="5" t="n">
        <v>15</v>
      </c>
      <c r="J2114" s="10" t="s">
        <v>858</v>
      </c>
      <c r="K2114" s="10"/>
      <c r="L2114" s="10"/>
    </row>
    <row r="2115" customFormat="false" ht="12.8" hidden="false" customHeight="false" outlineLevel="0" collapsed="false">
      <c r="G2115" s="25" t="n">
        <v>44608</v>
      </c>
      <c r="H2115" s="26" t="s">
        <v>10</v>
      </c>
      <c r="I2115" s="5" t="n">
        <v>-60</v>
      </c>
      <c r="J2115" s="54" t="s">
        <v>38</v>
      </c>
      <c r="K2115" s="54"/>
    </row>
    <row r="2116" customFormat="false" ht="12.8" hidden="false" customHeight="false" outlineLevel="0" collapsed="false">
      <c r="G2116" s="25" t="n">
        <v>44608</v>
      </c>
      <c r="H2116" s="32" t="s">
        <v>15</v>
      </c>
      <c r="I2116" s="5" t="n">
        <v>60</v>
      </c>
      <c r="J2116" s="54" t="s">
        <v>38</v>
      </c>
    </row>
    <row r="2117" customFormat="false" ht="12.8" hidden="false" customHeight="false" outlineLevel="0" collapsed="false">
      <c r="G2117" s="25" t="n">
        <v>44608</v>
      </c>
      <c r="H2117" s="32" t="s">
        <v>15</v>
      </c>
      <c r="I2117" s="5" t="n">
        <v>-57.1</v>
      </c>
      <c r="J2117" s="54" t="s">
        <v>37</v>
      </c>
      <c r="K2117" s="10"/>
    </row>
    <row r="2118" customFormat="false" ht="12.8" hidden="false" customHeight="false" outlineLevel="0" collapsed="false">
      <c r="G2118" s="25" t="n">
        <v>44609</v>
      </c>
      <c r="H2118" s="43" t="s">
        <v>23</v>
      </c>
      <c r="I2118" s="5" t="n">
        <v>-80.55</v>
      </c>
      <c r="J2118" s="10" t="s">
        <v>37</v>
      </c>
      <c r="K2118" s="10"/>
    </row>
    <row r="2119" customFormat="false" ht="12.8" hidden="false" customHeight="false" outlineLevel="0" collapsed="false">
      <c r="G2119" s="25" t="n">
        <v>44609</v>
      </c>
      <c r="H2119" s="43" t="s">
        <v>23</v>
      </c>
      <c r="I2119" s="5" t="n">
        <v>-65.51</v>
      </c>
      <c r="J2119" s="10" t="s">
        <v>48</v>
      </c>
      <c r="K2119" s="10"/>
      <c r="L2119" s="10"/>
    </row>
    <row r="2120" customFormat="false" ht="12.8" hidden="false" customHeight="false" outlineLevel="0" collapsed="false">
      <c r="G2120" s="25" t="n">
        <v>44610</v>
      </c>
      <c r="H2120" s="43" t="s">
        <v>23</v>
      </c>
      <c r="I2120" s="5" t="n">
        <v>-75.69</v>
      </c>
      <c r="J2120" s="10" t="s">
        <v>37</v>
      </c>
      <c r="K2120" s="10"/>
      <c r="L2120" s="10"/>
    </row>
    <row r="2121" customFormat="false" ht="12.8" hidden="false" customHeight="false" outlineLevel="0" collapsed="false">
      <c r="G2121" s="25" t="n">
        <v>44611</v>
      </c>
      <c r="H2121" s="43" t="s">
        <v>23</v>
      </c>
      <c r="I2121" s="5" t="n">
        <v>-67.12</v>
      </c>
      <c r="J2121" s="10" t="s">
        <v>37</v>
      </c>
      <c r="K2121" s="10"/>
    </row>
    <row r="2122" customFormat="false" ht="12.8" hidden="false" customHeight="false" outlineLevel="0" collapsed="false">
      <c r="G2122" s="25" t="n">
        <v>44611</v>
      </c>
      <c r="H2122" s="43" t="s">
        <v>23</v>
      </c>
      <c r="I2122" s="5" t="n">
        <v>-42</v>
      </c>
      <c r="J2122" s="10" t="s">
        <v>37</v>
      </c>
      <c r="K2122" s="10"/>
      <c r="L2122" s="10"/>
    </row>
    <row r="2123" customFormat="false" ht="12.8" hidden="false" customHeight="false" outlineLevel="0" collapsed="false">
      <c r="G2123" s="25" t="n">
        <v>44612</v>
      </c>
      <c r="H2123" s="43" t="s">
        <v>23</v>
      </c>
      <c r="I2123" s="5" t="n">
        <v>-73.87</v>
      </c>
      <c r="J2123" s="10" t="s">
        <v>37</v>
      </c>
      <c r="K2123" s="10"/>
      <c r="L2123" s="10"/>
    </row>
    <row r="2124" customFormat="false" ht="12.8" hidden="false" customHeight="false" outlineLevel="0" collapsed="false">
      <c r="G2124" s="25" t="n">
        <v>44613</v>
      </c>
      <c r="H2124" s="43" t="s">
        <v>23</v>
      </c>
      <c r="I2124" s="5" t="n">
        <v>-85.24</v>
      </c>
      <c r="J2124" s="10" t="s">
        <v>1000</v>
      </c>
      <c r="K2124" s="10"/>
    </row>
    <row r="2125" customFormat="false" ht="12.8" hidden="false" customHeight="false" outlineLevel="0" collapsed="false">
      <c r="G2125" s="25" t="n">
        <v>44613</v>
      </c>
      <c r="H2125" s="43" t="s">
        <v>23</v>
      </c>
      <c r="I2125" s="5" t="n">
        <v>-116.51</v>
      </c>
      <c r="J2125" s="10" t="s">
        <v>47</v>
      </c>
      <c r="K2125" s="10"/>
      <c r="L2125" s="10"/>
    </row>
    <row r="2126" customFormat="false" ht="12.8" hidden="false" customHeight="false" outlineLevel="0" collapsed="false">
      <c r="G2126" s="25" t="n">
        <v>44613</v>
      </c>
      <c r="H2126" s="26" t="s">
        <v>10</v>
      </c>
      <c r="I2126" s="5" t="n">
        <v>-55</v>
      </c>
      <c r="J2126" s="54" t="s">
        <v>38</v>
      </c>
      <c r="K2126" s="10"/>
      <c r="L2126" s="10"/>
    </row>
    <row r="2127" customFormat="false" ht="12.8" hidden="false" customHeight="false" outlineLevel="0" collapsed="false">
      <c r="G2127" s="25" t="n">
        <v>44613</v>
      </c>
      <c r="H2127" s="32" t="s">
        <v>15</v>
      </c>
      <c r="I2127" s="5" t="n">
        <v>55</v>
      </c>
      <c r="J2127" s="54" t="s">
        <v>38</v>
      </c>
      <c r="K2127" s="10"/>
    </row>
    <row r="2128" customFormat="false" ht="12.8" hidden="false" customHeight="false" outlineLevel="0" collapsed="false">
      <c r="G2128" s="25" t="n">
        <v>44613</v>
      </c>
      <c r="H2128" s="32" t="s">
        <v>15</v>
      </c>
      <c r="I2128" s="5" t="n">
        <v>-73.17</v>
      </c>
      <c r="J2128" s="54" t="s">
        <v>37</v>
      </c>
      <c r="K2128" s="10"/>
      <c r="L2128" s="10"/>
    </row>
    <row r="2129" customFormat="false" ht="12.8" hidden="false" customHeight="false" outlineLevel="0" collapsed="false">
      <c r="G2129" s="25" t="n">
        <v>44614</v>
      </c>
      <c r="H2129" s="48" t="s">
        <v>26</v>
      </c>
      <c r="I2129" s="5" t="n">
        <v>-50</v>
      </c>
      <c r="J2129" s="54" t="s">
        <v>952</v>
      </c>
      <c r="K2129" s="10"/>
      <c r="L2129" s="10"/>
    </row>
    <row r="2130" customFormat="false" ht="12.8" hidden="false" customHeight="false" outlineLevel="0" collapsed="false">
      <c r="G2130" s="25" t="n">
        <v>44614</v>
      </c>
      <c r="H2130" s="26" t="s">
        <v>10</v>
      </c>
      <c r="I2130" s="5" t="n">
        <v>-73</v>
      </c>
      <c r="J2130" s="54" t="s">
        <v>38</v>
      </c>
      <c r="K2130" s="10"/>
    </row>
    <row r="2131" customFormat="false" ht="12.8" hidden="false" customHeight="false" outlineLevel="0" collapsed="false">
      <c r="G2131" s="25" t="n">
        <v>44614</v>
      </c>
      <c r="H2131" s="32" t="s">
        <v>15</v>
      </c>
      <c r="I2131" s="5" t="n">
        <v>73</v>
      </c>
      <c r="J2131" s="54" t="s">
        <v>38</v>
      </c>
      <c r="K2131" s="10"/>
    </row>
    <row r="2132" customFormat="false" ht="12.8" hidden="false" customHeight="false" outlineLevel="0" collapsed="false">
      <c r="G2132" s="25" t="n">
        <v>44614</v>
      </c>
      <c r="H2132" s="32" t="s">
        <v>15</v>
      </c>
      <c r="I2132" s="5" t="n">
        <v>-72.47</v>
      </c>
      <c r="J2132" s="54" t="s">
        <v>37</v>
      </c>
      <c r="K2132" s="10"/>
      <c r="L2132" s="10"/>
    </row>
    <row r="2133" customFormat="false" ht="12.8" hidden="false" customHeight="false" outlineLevel="0" collapsed="false">
      <c r="G2133" s="25" t="n">
        <v>44615</v>
      </c>
      <c r="H2133" s="43" t="s">
        <v>23</v>
      </c>
      <c r="I2133" s="5" t="n">
        <v>-95.01</v>
      </c>
      <c r="J2133" s="10" t="s">
        <v>37</v>
      </c>
      <c r="K2133" s="10"/>
      <c r="L2133" s="10"/>
    </row>
    <row r="2134" customFormat="false" ht="12.8" hidden="false" customHeight="false" outlineLevel="0" collapsed="false">
      <c r="G2134" s="25" t="n">
        <v>44616</v>
      </c>
      <c r="H2134" s="26" t="s">
        <v>10</v>
      </c>
      <c r="I2134" s="5" t="n">
        <v>-150</v>
      </c>
      <c r="J2134" s="54" t="s">
        <v>38</v>
      </c>
      <c r="K2134" s="10"/>
      <c r="L2134" s="10"/>
    </row>
    <row r="2135" customFormat="false" ht="12.8" hidden="false" customHeight="false" outlineLevel="0" collapsed="false">
      <c r="G2135" s="25" t="n">
        <v>44616</v>
      </c>
      <c r="H2135" s="32" t="s">
        <v>15</v>
      </c>
      <c r="I2135" s="5" t="n">
        <v>150</v>
      </c>
      <c r="J2135" s="54" t="s">
        <v>38</v>
      </c>
      <c r="K2135" s="10"/>
      <c r="L2135" s="10"/>
    </row>
    <row r="2136" customFormat="false" ht="12.8" hidden="false" customHeight="false" outlineLevel="0" collapsed="false">
      <c r="G2136" s="25" t="n">
        <v>44616</v>
      </c>
      <c r="H2136" s="43" t="s">
        <v>23</v>
      </c>
      <c r="I2136" s="5" t="n">
        <v>-71.87</v>
      </c>
      <c r="J2136" s="10" t="s">
        <v>37</v>
      </c>
      <c r="K2136" s="10"/>
    </row>
    <row r="2137" customFormat="false" ht="12.8" hidden="false" customHeight="false" outlineLevel="0" collapsed="false">
      <c r="G2137" s="25" t="n">
        <v>44616</v>
      </c>
      <c r="H2137" s="43" t="s">
        <v>23</v>
      </c>
      <c r="I2137" s="5" t="n">
        <v>-383.89</v>
      </c>
      <c r="J2137" s="10" t="s">
        <v>843</v>
      </c>
      <c r="K2137" s="10"/>
      <c r="L2137" s="10"/>
    </row>
    <row r="2138" customFormat="false" ht="12.8" hidden="false" customHeight="false" outlineLevel="0" collapsed="false">
      <c r="G2138" s="25" t="n">
        <v>44617</v>
      </c>
      <c r="H2138" s="32" t="s">
        <v>15</v>
      </c>
      <c r="I2138" s="5" t="n">
        <v>-150</v>
      </c>
      <c r="J2138" s="54" t="s">
        <v>995</v>
      </c>
      <c r="K2138" s="10"/>
    </row>
    <row r="2139" customFormat="false" ht="12.8" hidden="false" customHeight="false" outlineLevel="0" collapsed="false">
      <c r="G2139" s="25" t="n">
        <v>44617</v>
      </c>
      <c r="H2139" s="43" t="s">
        <v>23</v>
      </c>
      <c r="I2139" s="5" t="n">
        <v>-74.52</v>
      </c>
      <c r="J2139" s="10" t="s">
        <v>37</v>
      </c>
      <c r="K2139" s="10"/>
    </row>
    <row r="2140" customFormat="false" ht="12.8" hidden="false" customHeight="false" outlineLevel="0" collapsed="false">
      <c r="G2140" s="25" t="n">
        <v>44617</v>
      </c>
      <c r="H2140" s="26" t="s">
        <v>10</v>
      </c>
      <c r="I2140" s="5" t="n">
        <v>-700</v>
      </c>
      <c r="J2140" s="10" t="s">
        <v>1001</v>
      </c>
    </row>
    <row r="2141" customFormat="false" ht="12.8" hidden="false" customHeight="false" outlineLevel="0" collapsed="false">
      <c r="G2141" s="25" t="n">
        <v>44617</v>
      </c>
      <c r="H2141" s="48" t="s">
        <v>26</v>
      </c>
      <c r="I2141" s="5" t="n">
        <v>700</v>
      </c>
      <c r="J2141" s="10" t="s">
        <v>66</v>
      </c>
    </row>
    <row r="2142" customFormat="false" ht="12.8" hidden="false" customHeight="false" outlineLevel="0" collapsed="false">
      <c r="G2142" s="25" t="n">
        <v>44617</v>
      </c>
      <c r="H2142" s="43" t="s">
        <v>23</v>
      </c>
      <c r="I2142" s="5" t="n">
        <v>250</v>
      </c>
      <c r="J2142" s="54" t="s">
        <v>912</v>
      </c>
      <c r="K2142" s="10"/>
    </row>
    <row r="2143" customFormat="false" ht="12.8" hidden="false" customHeight="false" outlineLevel="0" collapsed="false">
      <c r="G2143" s="25" t="n">
        <v>44617</v>
      </c>
      <c r="H2143" s="43" t="s">
        <v>23</v>
      </c>
      <c r="I2143" s="5" t="n">
        <v>-5</v>
      </c>
      <c r="J2143" s="10" t="s">
        <v>953</v>
      </c>
      <c r="K2143" s="10"/>
    </row>
    <row r="2144" customFormat="false" ht="12.8" hidden="false" customHeight="false" outlineLevel="0" collapsed="false">
      <c r="G2144" s="25" t="n">
        <v>44617</v>
      </c>
      <c r="H2144" s="48" t="s">
        <v>26</v>
      </c>
      <c r="I2144" s="5" t="n">
        <v>-656</v>
      </c>
      <c r="J2144" s="10" t="s">
        <v>1002</v>
      </c>
      <c r="K2144" s="10"/>
    </row>
    <row r="2145" customFormat="false" ht="12.8" hidden="false" customHeight="false" outlineLevel="0" collapsed="false">
      <c r="G2145" s="25" t="n">
        <v>44617</v>
      </c>
      <c r="H2145" s="52" t="s">
        <v>14</v>
      </c>
      <c r="I2145" s="5" t="n">
        <v>656</v>
      </c>
      <c r="J2145" s="10" t="s">
        <v>1002</v>
      </c>
      <c r="K2145" s="10"/>
    </row>
    <row r="2146" customFormat="false" ht="12.8" hidden="false" customHeight="false" outlineLevel="0" collapsed="false">
      <c r="G2146" s="25" t="n">
        <v>44617</v>
      </c>
      <c r="H2146" s="52" t="s">
        <v>14</v>
      </c>
      <c r="I2146" s="5" t="n">
        <v>4.05</v>
      </c>
      <c r="J2146" s="10" t="s">
        <v>40</v>
      </c>
      <c r="K2146" s="10"/>
      <c r="L2146" s="10"/>
    </row>
    <row r="2147" customFormat="false" ht="12.8" hidden="false" customHeight="false" outlineLevel="0" collapsed="false">
      <c r="G2147" s="25" t="n">
        <v>44618</v>
      </c>
      <c r="H2147" s="43" t="s">
        <v>23</v>
      </c>
      <c r="I2147" s="5" t="n">
        <v>-70.99</v>
      </c>
      <c r="J2147" s="10" t="s">
        <v>37</v>
      </c>
      <c r="K2147" s="10"/>
    </row>
    <row r="2148" customFormat="false" ht="12.8" hidden="false" customHeight="false" outlineLevel="0" collapsed="false">
      <c r="G2148" s="25" t="n">
        <v>44619</v>
      </c>
      <c r="H2148" s="43" t="s">
        <v>23</v>
      </c>
      <c r="I2148" s="5" t="n">
        <v>-4.9</v>
      </c>
      <c r="J2148" s="10" t="s">
        <v>1003</v>
      </c>
      <c r="K2148" s="10"/>
    </row>
    <row r="2149" customFormat="false" ht="12.8" hidden="false" customHeight="false" outlineLevel="0" collapsed="false">
      <c r="G2149" s="25" t="n">
        <v>44619</v>
      </c>
      <c r="H2149" s="43" t="s">
        <v>23</v>
      </c>
      <c r="I2149" s="5" t="n">
        <v>-4</v>
      </c>
      <c r="J2149" s="10" t="s">
        <v>848</v>
      </c>
      <c r="K2149" s="10"/>
    </row>
    <row r="2150" customFormat="false" ht="12.8" hidden="false" customHeight="false" outlineLevel="0" collapsed="false">
      <c r="G2150" s="25" t="n">
        <v>44619</v>
      </c>
      <c r="H2150" s="43" t="s">
        <v>23</v>
      </c>
      <c r="I2150" s="5" t="n">
        <v>-73.76</v>
      </c>
      <c r="J2150" s="10" t="s">
        <v>37</v>
      </c>
      <c r="K2150" s="10"/>
      <c r="L2150" s="10"/>
    </row>
    <row r="2151" customFormat="false" ht="12.8" hidden="false" customHeight="false" outlineLevel="0" collapsed="false">
      <c r="G2151" s="25" t="n">
        <v>44619</v>
      </c>
      <c r="H2151" s="43" t="s">
        <v>23</v>
      </c>
      <c r="I2151" s="5" t="n">
        <v>-0.1</v>
      </c>
      <c r="J2151" s="10" t="s">
        <v>1004</v>
      </c>
      <c r="K2151" s="10"/>
    </row>
    <row r="2152" customFormat="false" ht="12.8" hidden="false" customHeight="false" outlineLevel="0" collapsed="false">
      <c r="G2152" s="25" t="n">
        <v>44620</v>
      </c>
      <c r="H2152" s="43" t="s">
        <v>23</v>
      </c>
      <c r="I2152" s="5" t="n">
        <v>-80.03</v>
      </c>
      <c r="J2152" s="10" t="s">
        <v>37</v>
      </c>
      <c r="K2152" s="10"/>
    </row>
    <row r="2153" customFormat="false" ht="12.8" hidden="false" customHeight="false" outlineLevel="0" collapsed="false">
      <c r="G2153" s="25" t="n">
        <v>44620</v>
      </c>
      <c r="H2153" s="48" t="s">
        <v>26</v>
      </c>
      <c r="I2153" s="5" t="n">
        <v>-50</v>
      </c>
      <c r="J2153" s="10" t="s">
        <v>707</v>
      </c>
      <c r="K2153" s="10"/>
    </row>
    <row r="2154" customFormat="false" ht="12.8" hidden="false" customHeight="false" outlineLevel="0" collapsed="false">
      <c r="G2154" s="25" t="n">
        <v>44620</v>
      </c>
      <c r="H2154" s="52" t="s">
        <v>14</v>
      </c>
      <c r="I2154" s="5" t="n">
        <v>50</v>
      </c>
      <c r="J2154" s="10" t="s">
        <v>707</v>
      </c>
      <c r="K2154" s="54"/>
    </row>
    <row r="2155" customFormat="false" ht="12.8" hidden="false" customHeight="false" outlineLevel="0" collapsed="false">
      <c r="G2155" s="25" t="n">
        <v>44621</v>
      </c>
      <c r="H2155" s="52" t="s">
        <v>14</v>
      </c>
      <c r="I2155" s="5" t="n">
        <v>-2003</v>
      </c>
      <c r="J2155" s="10" t="s">
        <v>1005</v>
      </c>
      <c r="K2155" s="10"/>
    </row>
    <row r="2156" customFormat="false" ht="12.8" hidden="false" customHeight="false" outlineLevel="0" collapsed="false">
      <c r="G2156" s="25" t="n">
        <v>44621</v>
      </c>
      <c r="H2156" s="48" t="s">
        <v>26</v>
      </c>
      <c r="I2156" s="5" t="n">
        <v>2003</v>
      </c>
      <c r="J2156" s="10" t="s">
        <v>1005</v>
      </c>
      <c r="K2156" s="10"/>
    </row>
    <row r="2157" customFormat="false" ht="12.8" hidden="false" customHeight="false" outlineLevel="0" collapsed="false">
      <c r="F2157" s="473"/>
      <c r="G2157" s="25" t="n">
        <v>44621</v>
      </c>
      <c r="H2157" s="48" t="s">
        <v>26</v>
      </c>
      <c r="I2157" s="5" t="n">
        <v>-2000</v>
      </c>
      <c r="J2157" s="10" t="s">
        <v>1005</v>
      </c>
      <c r="K2157" s="10"/>
    </row>
    <row r="2158" customFormat="false" ht="12.8" hidden="false" customHeight="false" outlineLevel="0" collapsed="false">
      <c r="F2158" s="474"/>
      <c r="G2158" s="25" t="n">
        <v>44621</v>
      </c>
      <c r="H2158" s="48" t="s">
        <v>26</v>
      </c>
      <c r="I2158" s="5" t="n">
        <v>-3</v>
      </c>
      <c r="J2158" s="10" t="s">
        <v>887</v>
      </c>
      <c r="K2158" s="10"/>
    </row>
    <row r="2159" customFormat="false" ht="12.8" hidden="false" customHeight="false" outlineLevel="0" collapsed="false">
      <c r="F2159" s="474"/>
      <c r="G2159" s="25" t="n">
        <v>44621</v>
      </c>
      <c r="H2159" s="32" t="s">
        <v>15</v>
      </c>
      <c r="I2159" s="5" t="n">
        <v>2000</v>
      </c>
      <c r="J2159" s="10" t="s">
        <v>38</v>
      </c>
      <c r="K2159" s="10"/>
    </row>
    <row r="2160" customFormat="false" ht="12.8" hidden="false" customHeight="false" outlineLevel="0" collapsed="false">
      <c r="G2160" s="25" t="n">
        <v>44621</v>
      </c>
      <c r="H2160" s="32" t="s">
        <v>15</v>
      </c>
      <c r="I2160" s="5" t="n">
        <v>-2000</v>
      </c>
      <c r="J2160" s="10" t="s">
        <v>104</v>
      </c>
      <c r="K2160" s="10"/>
    </row>
    <row r="2161" customFormat="false" ht="12.8" hidden="false" customHeight="false" outlineLevel="0" collapsed="false">
      <c r="G2161" s="25" t="n">
        <v>44621</v>
      </c>
      <c r="H2161" s="26" t="s">
        <v>10</v>
      </c>
      <c r="I2161" s="5" t="n">
        <v>2000</v>
      </c>
      <c r="J2161" s="10" t="s">
        <v>104</v>
      </c>
      <c r="K2161" s="10"/>
    </row>
    <row r="2162" customFormat="false" ht="12.8" hidden="false" customHeight="false" outlineLevel="0" collapsed="false">
      <c r="G2162" s="25" t="n">
        <v>44621</v>
      </c>
      <c r="H2162" s="48" t="s">
        <v>26</v>
      </c>
      <c r="I2162" s="5" t="n">
        <v>-15</v>
      </c>
      <c r="J2162" s="10" t="s">
        <v>82</v>
      </c>
      <c r="K2162" s="10"/>
    </row>
    <row r="2163" customFormat="false" ht="12.8" hidden="false" customHeight="false" outlineLevel="0" collapsed="false">
      <c r="G2163" s="25" t="n">
        <v>44621</v>
      </c>
      <c r="H2163" s="38" t="s">
        <v>21</v>
      </c>
      <c r="I2163" s="5" t="n">
        <v>1.92</v>
      </c>
      <c r="J2163" s="10" t="s">
        <v>1006</v>
      </c>
      <c r="K2163" s="10"/>
    </row>
    <row r="2164" customFormat="false" ht="12.8" hidden="false" customHeight="false" outlineLevel="0" collapsed="false">
      <c r="G2164" s="25" t="n">
        <v>44621</v>
      </c>
      <c r="H2164" s="26" t="s">
        <v>10</v>
      </c>
      <c r="I2164" s="5" t="n">
        <v>-74</v>
      </c>
      <c r="J2164" s="54" t="s">
        <v>38</v>
      </c>
      <c r="K2164" s="10"/>
    </row>
    <row r="2165" customFormat="false" ht="12.8" hidden="false" customHeight="false" outlineLevel="0" collapsed="false">
      <c r="G2165" s="25" t="n">
        <v>44621</v>
      </c>
      <c r="H2165" s="32" t="s">
        <v>15</v>
      </c>
      <c r="I2165" s="5" t="n">
        <v>74</v>
      </c>
      <c r="J2165" s="54" t="s">
        <v>38</v>
      </c>
      <c r="K2165" s="10"/>
    </row>
    <row r="2166" customFormat="false" ht="12.8" hidden="false" customHeight="false" outlineLevel="0" collapsed="false">
      <c r="G2166" s="25" t="n">
        <v>44621</v>
      </c>
      <c r="H2166" s="32" t="s">
        <v>15</v>
      </c>
      <c r="I2166" s="5" t="n">
        <v>-71.92</v>
      </c>
      <c r="J2166" s="54" t="s">
        <v>37</v>
      </c>
      <c r="K2166" s="10"/>
    </row>
    <row r="2167" customFormat="false" ht="12.8" hidden="false" customHeight="false" outlineLevel="0" collapsed="false">
      <c r="G2167" s="25" t="n">
        <v>44621</v>
      </c>
      <c r="H2167" s="52" t="s">
        <v>14</v>
      </c>
      <c r="I2167" s="5" t="n">
        <v>-90</v>
      </c>
      <c r="J2167" s="10" t="s">
        <v>66</v>
      </c>
      <c r="K2167" s="10"/>
    </row>
    <row r="2168" customFormat="false" ht="12.8" hidden="false" customHeight="false" outlineLevel="0" collapsed="false">
      <c r="G2168" s="25" t="n">
        <v>44621</v>
      </c>
      <c r="H2168" s="48" t="s">
        <v>26</v>
      </c>
      <c r="I2168" s="5" t="n">
        <v>90</v>
      </c>
      <c r="J2168" s="10" t="s">
        <v>66</v>
      </c>
      <c r="K2168" s="10"/>
    </row>
    <row r="2169" customFormat="false" ht="12.8" hidden="false" customHeight="false" outlineLevel="0" collapsed="false">
      <c r="G2169" s="25" t="n">
        <v>44621</v>
      </c>
      <c r="H2169" s="26" t="s">
        <v>10</v>
      </c>
      <c r="I2169" s="5" t="n">
        <v>0.34</v>
      </c>
      <c r="J2169" s="10" t="s">
        <v>40</v>
      </c>
      <c r="K2169" s="10"/>
    </row>
    <row r="2170" customFormat="false" ht="12.8" hidden="false" customHeight="false" outlineLevel="0" collapsed="false">
      <c r="G2170" s="25" t="n">
        <v>44622</v>
      </c>
      <c r="H2170" s="26" t="s">
        <v>10</v>
      </c>
      <c r="I2170" s="5" t="n">
        <v>-80</v>
      </c>
      <c r="J2170" s="54" t="s">
        <v>38</v>
      </c>
      <c r="K2170" s="10"/>
    </row>
    <row r="2171" customFormat="false" ht="12.8" hidden="false" customHeight="false" outlineLevel="0" collapsed="false">
      <c r="G2171" s="25" t="n">
        <v>44622</v>
      </c>
      <c r="H2171" s="32" t="s">
        <v>15</v>
      </c>
      <c r="I2171" s="5" t="n">
        <v>80</v>
      </c>
      <c r="J2171" s="54" t="s">
        <v>38</v>
      </c>
      <c r="K2171" s="10"/>
    </row>
    <row r="2172" customFormat="false" ht="12.8" hidden="false" customHeight="false" outlineLevel="0" collapsed="false">
      <c r="G2172" s="25" t="n">
        <v>44622</v>
      </c>
      <c r="H2172" s="32" t="s">
        <v>15</v>
      </c>
      <c r="I2172" s="5" t="n">
        <v>-74.7</v>
      </c>
      <c r="J2172" s="54" t="s">
        <v>37</v>
      </c>
      <c r="K2172" s="10"/>
      <c r="L2172" s="10"/>
    </row>
    <row r="2173" customFormat="false" ht="12.8" hidden="false" customHeight="false" outlineLevel="0" collapsed="false">
      <c r="G2173" s="25" t="n">
        <v>44622</v>
      </c>
      <c r="H2173" s="43" t="s">
        <v>23</v>
      </c>
      <c r="I2173" s="5" t="n">
        <v>-3</v>
      </c>
      <c r="J2173" s="10" t="s">
        <v>848</v>
      </c>
      <c r="K2173" s="10"/>
      <c r="L2173" s="10"/>
    </row>
    <row r="2174" customFormat="false" ht="12.8" hidden="false" customHeight="false" outlineLevel="0" collapsed="false">
      <c r="G2174" s="25" t="n">
        <v>44623</v>
      </c>
      <c r="H2174" s="26" t="s">
        <v>10</v>
      </c>
      <c r="I2174" s="5" t="n">
        <v>-67.34</v>
      </c>
      <c r="J2174" s="54" t="s">
        <v>38</v>
      </c>
      <c r="K2174" s="10"/>
      <c r="L2174" s="10"/>
    </row>
    <row r="2175" customFormat="false" ht="12.8" hidden="false" customHeight="false" outlineLevel="0" collapsed="false">
      <c r="G2175" s="25" t="n">
        <v>44623</v>
      </c>
      <c r="H2175" s="32" t="s">
        <v>15</v>
      </c>
      <c r="I2175" s="5" t="n">
        <v>67.34</v>
      </c>
      <c r="J2175" s="54" t="s">
        <v>38</v>
      </c>
      <c r="K2175" s="10"/>
      <c r="L2175" s="10"/>
    </row>
    <row r="2176" customFormat="false" ht="12.8" hidden="false" customHeight="false" outlineLevel="0" collapsed="false">
      <c r="G2176" s="25" t="n">
        <v>44623</v>
      </c>
      <c r="H2176" s="32" t="s">
        <v>15</v>
      </c>
      <c r="I2176" s="5" t="n">
        <v>-73.69</v>
      </c>
      <c r="J2176" s="54" t="s">
        <v>37</v>
      </c>
      <c r="K2176" s="10"/>
    </row>
    <row r="2177" customFormat="false" ht="12.8" hidden="false" customHeight="false" outlineLevel="0" collapsed="false">
      <c r="G2177" s="25" t="n">
        <v>44622</v>
      </c>
      <c r="H2177" s="38" t="s">
        <v>21</v>
      </c>
      <c r="I2177" s="5" t="n">
        <v>-15</v>
      </c>
      <c r="J2177" s="10" t="s">
        <v>846</v>
      </c>
      <c r="K2177" s="10"/>
      <c r="L2177" s="10"/>
    </row>
    <row r="2178" customFormat="false" ht="12.8" hidden="false" customHeight="false" outlineLevel="0" collapsed="false">
      <c r="G2178" s="25" t="n">
        <v>44624</v>
      </c>
      <c r="H2178" s="26" t="s">
        <v>10</v>
      </c>
      <c r="I2178" s="5" t="n">
        <v>-74</v>
      </c>
      <c r="J2178" s="54" t="s">
        <v>38</v>
      </c>
      <c r="K2178" s="10"/>
      <c r="L2178" s="10"/>
    </row>
    <row r="2179" customFormat="false" ht="12.8" hidden="false" customHeight="false" outlineLevel="0" collapsed="false">
      <c r="G2179" s="25" t="n">
        <v>44624</v>
      </c>
      <c r="H2179" s="32" t="s">
        <v>15</v>
      </c>
      <c r="I2179" s="5" t="n">
        <v>74</v>
      </c>
      <c r="J2179" s="54" t="s">
        <v>38</v>
      </c>
      <c r="K2179" s="10"/>
      <c r="L2179" s="10"/>
    </row>
    <row r="2180" customFormat="false" ht="12.8" hidden="false" customHeight="false" outlineLevel="0" collapsed="false">
      <c r="G2180" s="25" t="n">
        <v>44624</v>
      </c>
      <c r="H2180" s="32" t="s">
        <v>15</v>
      </c>
      <c r="I2180" s="5" t="n">
        <v>-55.53</v>
      </c>
      <c r="J2180" s="54" t="s">
        <v>37</v>
      </c>
      <c r="K2180" s="10"/>
      <c r="L2180" s="10"/>
    </row>
    <row r="2181" customFormat="false" ht="12.8" hidden="false" customHeight="false" outlineLevel="0" collapsed="false">
      <c r="G2181" s="25" t="n">
        <v>44625</v>
      </c>
      <c r="H2181" s="43" t="s">
        <v>23</v>
      </c>
      <c r="I2181" s="5" t="n">
        <v>-14.86</v>
      </c>
      <c r="J2181" s="10" t="s">
        <v>37</v>
      </c>
      <c r="K2181" s="10"/>
      <c r="L2181" s="54"/>
    </row>
    <row r="2182" customFormat="false" ht="12.8" hidden="false" customHeight="false" outlineLevel="0" collapsed="false">
      <c r="G2182" s="25" t="n">
        <v>44625</v>
      </c>
      <c r="H2182" s="26" t="s">
        <v>10</v>
      </c>
      <c r="I2182" s="5" t="n">
        <v>-55</v>
      </c>
      <c r="J2182" s="54" t="s">
        <v>38</v>
      </c>
      <c r="K2182" s="10"/>
      <c r="L2182" s="54"/>
    </row>
    <row r="2183" customFormat="false" ht="12.8" hidden="false" customHeight="false" outlineLevel="0" collapsed="false">
      <c r="G2183" s="25" t="n">
        <v>44625</v>
      </c>
      <c r="H2183" s="32" t="s">
        <v>15</v>
      </c>
      <c r="I2183" s="5" t="n">
        <v>55</v>
      </c>
      <c r="J2183" s="54" t="s">
        <v>38</v>
      </c>
      <c r="K2183" s="10"/>
      <c r="L2183" s="10"/>
    </row>
    <row r="2184" customFormat="false" ht="12.8" hidden="false" customHeight="false" outlineLevel="0" collapsed="false">
      <c r="G2184" s="25" t="n">
        <v>44625</v>
      </c>
      <c r="H2184" s="32" t="s">
        <v>15</v>
      </c>
      <c r="I2184" s="5" t="n">
        <v>-74.44</v>
      </c>
      <c r="J2184" s="54" t="s">
        <v>37</v>
      </c>
      <c r="K2184" s="10"/>
    </row>
    <row r="2185" customFormat="false" ht="12.8" hidden="false" customHeight="false" outlineLevel="0" collapsed="false">
      <c r="G2185" s="25" t="n">
        <v>44626</v>
      </c>
      <c r="H2185" s="26" t="s">
        <v>10</v>
      </c>
      <c r="I2185" s="5" t="n">
        <v>-75</v>
      </c>
      <c r="J2185" s="54" t="s">
        <v>38</v>
      </c>
      <c r="K2185" s="10"/>
    </row>
    <row r="2186" customFormat="false" ht="12.8" hidden="false" customHeight="false" outlineLevel="0" collapsed="false">
      <c r="G2186" s="25" t="n">
        <v>44626</v>
      </c>
      <c r="H2186" s="32" t="s">
        <v>15</v>
      </c>
      <c r="I2186" s="5" t="n">
        <v>75</v>
      </c>
      <c r="J2186" s="54" t="s">
        <v>38</v>
      </c>
      <c r="K2186" s="10"/>
      <c r="L2186" s="10"/>
    </row>
    <row r="2187" customFormat="false" ht="12.8" hidden="false" customHeight="false" outlineLevel="0" collapsed="false">
      <c r="G2187" s="25" t="n">
        <v>44626</v>
      </c>
      <c r="H2187" s="32" t="s">
        <v>15</v>
      </c>
      <c r="I2187" s="5" t="n">
        <v>-73.55</v>
      </c>
      <c r="J2187" s="54" t="s">
        <v>37</v>
      </c>
      <c r="K2187" s="10"/>
    </row>
    <row r="2188" customFormat="false" ht="12.8" hidden="false" customHeight="false" outlineLevel="0" collapsed="false">
      <c r="G2188" s="25" t="n">
        <v>44626</v>
      </c>
      <c r="H2188" s="48" t="s">
        <v>26</v>
      </c>
      <c r="I2188" s="5" t="n">
        <v>-72.95</v>
      </c>
      <c r="J2188" s="10" t="s">
        <v>1007</v>
      </c>
      <c r="K2188" s="10"/>
    </row>
    <row r="2189" customFormat="false" ht="12.8" hidden="false" customHeight="false" outlineLevel="0" collapsed="false">
      <c r="G2189" s="25" t="n">
        <v>44627</v>
      </c>
      <c r="H2189" s="32" t="s">
        <v>15</v>
      </c>
      <c r="I2189" s="5" t="n">
        <v>-50</v>
      </c>
      <c r="J2189" s="54" t="s">
        <v>868</v>
      </c>
      <c r="K2189" s="10"/>
    </row>
    <row r="2190" customFormat="false" ht="12.8" hidden="false" customHeight="false" outlineLevel="0" collapsed="false">
      <c r="G2190" s="25" t="n">
        <v>44627</v>
      </c>
      <c r="H2190" s="26" t="s">
        <v>10</v>
      </c>
      <c r="I2190" s="5" t="n">
        <v>-73</v>
      </c>
      <c r="J2190" s="54" t="s">
        <v>38</v>
      </c>
      <c r="K2190" s="10"/>
    </row>
    <row r="2191" customFormat="false" ht="12.8" hidden="false" customHeight="false" outlineLevel="0" collapsed="false">
      <c r="G2191" s="25" t="n">
        <v>44627</v>
      </c>
      <c r="H2191" s="32" t="s">
        <v>15</v>
      </c>
      <c r="I2191" s="5" t="n">
        <v>73</v>
      </c>
      <c r="J2191" s="54" t="s">
        <v>38</v>
      </c>
      <c r="K2191" s="10"/>
    </row>
    <row r="2192" customFormat="false" ht="12.8" hidden="false" customHeight="false" outlineLevel="0" collapsed="false">
      <c r="G2192" s="25" t="n">
        <v>44627</v>
      </c>
      <c r="H2192" s="26" t="s">
        <v>10</v>
      </c>
      <c r="I2192" s="5" t="n">
        <v>-50</v>
      </c>
      <c r="J2192" s="54" t="s">
        <v>38</v>
      </c>
      <c r="K2192" s="10"/>
    </row>
    <row r="2193" customFormat="false" ht="12.8" hidden="false" customHeight="false" outlineLevel="0" collapsed="false">
      <c r="G2193" s="25" t="n">
        <v>44627</v>
      </c>
      <c r="H2193" s="32" t="s">
        <v>15</v>
      </c>
      <c r="I2193" s="5" t="n">
        <v>50</v>
      </c>
      <c r="J2193" s="54" t="s">
        <v>38</v>
      </c>
      <c r="K2193" s="10"/>
    </row>
    <row r="2194" customFormat="false" ht="12.8" hidden="false" customHeight="false" outlineLevel="0" collapsed="false">
      <c r="G2194" s="25" t="n">
        <v>44627</v>
      </c>
      <c r="H2194" s="32" t="s">
        <v>15</v>
      </c>
      <c r="I2194" s="5" t="n">
        <v>-57.79</v>
      </c>
      <c r="J2194" s="54" t="s">
        <v>37</v>
      </c>
      <c r="K2194" s="10"/>
    </row>
    <row r="2195" customFormat="false" ht="12.8" hidden="false" customHeight="false" outlineLevel="0" collapsed="false">
      <c r="G2195" s="25" t="n">
        <v>44628</v>
      </c>
      <c r="H2195" s="52" t="s">
        <v>14</v>
      </c>
      <c r="I2195" s="5" t="n">
        <v>-83</v>
      </c>
      <c r="J2195" s="10" t="s">
        <v>66</v>
      </c>
      <c r="K2195" s="10"/>
    </row>
    <row r="2196" customFormat="false" ht="12.8" hidden="false" customHeight="false" outlineLevel="0" collapsed="false">
      <c r="G2196" s="25" t="n">
        <v>44628</v>
      </c>
      <c r="H2196" s="48" t="s">
        <v>26</v>
      </c>
      <c r="I2196" s="5" t="n">
        <v>83</v>
      </c>
      <c r="J2196" s="10" t="s">
        <v>66</v>
      </c>
      <c r="K2196" s="54"/>
    </row>
    <row r="2197" customFormat="false" ht="12.8" hidden="false" customHeight="false" outlineLevel="0" collapsed="false">
      <c r="G2197" s="25" t="n">
        <v>44628</v>
      </c>
      <c r="H2197" s="26" t="s">
        <v>10</v>
      </c>
      <c r="I2197" s="5" t="n">
        <v>-58</v>
      </c>
      <c r="J2197" s="54" t="s">
        <v>38</v>
      </c>
      <c r="K2197" s="10"/>
    </row>
    <row r="2198" customFormat="false" ht="12.8" hidden="false" customHeight="false" outlineLevel="0" collapsed="false">
      <c r="G2198" s="25" t="n">
        <v>44628</v>
      </c>
      <c r="H2198" s="32" t="s">
        <v>15</v>
      </c>
      <c r="I2198" s="5" t="n">
        <v>58</v>
      </c>
      <c r="J2198" s="54" t="s">
        <v>38</v>
      </c>
      <c r="K2198" s="10"/>
    </row>
    <row r="2199" customFormat="false" ht="12.8" hidden="false" customHeight="false" outlineLevel="0" collapsed="false">
      <c r="G2199" s="25" t="n">
        <v>44628</v>
      </c>
      <c r="H2199" s="32" t="s">
        <v>15</v>
      </c>
      <c r="I2199" s="5" t="n">
        <v>-70.47</v>
      </c>
      <c r="J2199" s="54" t="s">
        <v>37</v>
      </c>
      <c r="K2199" s="10"/>
    </row>
    <row r="2200" customFormat="false" ht="12.8" hidden="false" customHeight="false" outlineLevel="0" collapsed="false">
      <c r="G2200" s="25" t="n">
        <v>44629</v>
      </c>
      <c r="H2200" s="26" t="s">
        <v>10</v>
      </c>
      <c r="I2200" s="5" t="n">
        <v>-70</v>
      </c>
      <c r="J2200" s="54" t="s">
        <v>38</v>
      </c>
      <c r="K2200" s="10"/>
    </row>
    <row r="2201" customFormat="false" ht="12.8" hidden="false" customHeight="false" outlineLevel="0" collapsed="false">
      <c r="G2201" s="25" t="n">
        <v>44629</v>
      </c>
      <c r="H2201" s="32" t="s">
        <v>15</v>
      </c>
      <c r="I2201" s="5" t="n">
        <v>70</v>
      </c>
      <c r="J2201" s="54" t="s">
        <v>38</v>
      </c>
      <c r="K2201" s="10"/>
    </row>
    <row r="2202" customFormat="false" ht="12.8" hidden="false" customHeight="false" outlineLevel="0" collapsed="false">
      <c r="G2202" s="25" t="n">
        <v>44629</v>
      </c>
      <c r="H2202" s="32" t="s">
        <v>15</v>
      </c>
      <c r="I2202" s="5" t="n">
        <v>-73.35</v>
      </c>
      <c r="J2202" s="54" t="s">
        <v>37</v>
      </c>
      <c r="K2202" s="10"/>
    </row>
    <row r="2203" customFormat="false" ht="12.8" hidden="false" customHeight="false" outlineLevel="0" collapsed="false">
      <c r="G2203" s="25" t="n">
        <v>44629</v>
      </c>
      <c r="H2203" s="48" t="s">
        <v>26</v>
      </c>
      <c r="I2203" s="5" t="n">
        <v>-28.48</v>
      </c>
      <c r="J2203" s="10" t="s">
        <v>841</v>
      </c>
      <c r="K2203" s="10"/>
    </row>
    <row r="2204" customFormat="false" ht="12.8" hidden="false" customHeight="false" outlineLevel="0" collapsed="false">
      <c r="G2204" s="25" t="n">
        <v>44630</v>
      </c>
      <c r="H2204" s="26" t="s">
        <v>10</v>
      </c>
      <c r="I2204" s="5" t="n">
        <v>-74</v>
      </c>
      <c r="J2204" s="54" t="s">
        <v>38</v>
      </c>
      <c r="K2204" s="10"/>
    </row>
    <row r="2205" customFormat="false" ht="12.8" hidden="false" customHeight="false" outlineLevel="0" collapsed="false">
      <c r="G2205" s="25" t="n">
        <v>44630</v>
      </c>
      <c r="H2205" s="32" t="s">
        <v>15</v>
      </c>
      <c r="I2205" s="5" t="n">
        <v>74</v>
      </c>
      <c r="J2205" s="54" t="s">
        <v>38</v>
      </c>
      <c r="K2205" s="10"/>
    </row>
    <row r="2206" customFormat="false" ht="12.8" hidden="false" customHeight="false" outlineLevel="0" collapsed="false">
      <c r="G2206" s="25" t="n">
        <v>44630</v>
      </c>
      <c r="H2206" s="32" t="s">
        <v>15</v>
      </c>
      <c r="I2206" s="5" t="n">
        <v>-70.63</v>
      </c>
      <c r="J2206" s="54" t="s">
        <v>37</v>
      </c>
      <c r="K2206" s="10"/>
    </row>
    <row r="2207" customFormat="false" ht="12.8" hidden="false" customHeight="false" outlineLevel="0" collapsed="false">
      <c r="G2207" s="25" t="n">
        <v>44630</v>
      </c>
      <c r="H2207" s="48" t="s">
        <v>26</v>
      </c>
      <c r="I2207" s="5" t="n">
        <v>-41.52</v>
      </c>
      <c r="J2207" s="10" t="s">
        <v>37</v>
      </c>
      <c r="K2207" s="54"/>
    </row>
    <row r="2208" customFormat="false" ht="12.8" hidden="false" customHeight="false" outlineLevel="0" collapsed="false">
      <c r="G2208" s="25" t="n">
        <v>44630</v>
      </c>
      <c r="H2208" s="48" t="s">
        <v>26</v>
      </c>
      <c r="I2208" s="5" t="n">
        <v>-30</v>
      </c>
      <c r="J2208" s="10" t="s">
        <v>952</v>
      </c>
      <c r="K2208" s="54"/>
    </row>
    <row r="2209" customFormat="false" ht="12.8" hidden="false" customHeight="false" outlineLevel="0" collapsed="false">
      <c r="G2209" s="25" t="n">
        <v>44631</v>
      </c>
      <c r="H2209" s="26" t="s">
        <v>10</v>
      </c>
      <c r="I2209" s="5" t="n">
        <v>-70</v>
      </c>
      <c r="J2209" s="54" t="s">
        <v>38</v>
      </c>
      <c r="K2209" s="10"/>
    </row>
    <row r="2210" customFormat="false" ht="12.8" hidden="false" customHeight="false" outlineLevel="0" collapsed="false">
      <c r="G2210" s="25" t="n">
        <v>44631</v>
      </c>
      <c r="H2210" s="32" t="s">
        <v>15</v>
      </c>
      <c r="I2210" s="5" t="n">
        <v>70</v>
      </c>
      <c r="J2210" s="54" t="s">
        <v>38</v>
      </c>
      <c r="K2210" s="10"/>
    </row>
    <row r="2211" customFormat="false" ht="12.8" hidden="false" customHeight="false" outlineLevel="0" collapsed="false">
      <c r="G2211" s="25" t="n">
        <v>44631</v>
      </c>
      <c r="H2211" s="32" t="s">
        <v>15</v>
      </c>
      <c r="I2211" s="5" t="n">
        <v>-70.86</v>
      </c>
      <c r="J2211" s="54" t="s">
        <v>37</v>
      </c>
      <c r="K2211" s="10"/>
    </row>
    <row r="2212" customFormat="false" ht="12.8" hidden="false" customHeight="false" outlineLevel="0" collapsed="false">
      <c r="G2212" s="25" t="n">
        <v>44632</v>
      </c>
      <c r="H2212" s="26" t="s">
        <v>10</v>
      </c>
      <c r="I2212" s="5" t="n">
        <v>-71</v>
      </c>
      <c r="J2212" s="54" t="s">
        <v>38</v>
      </c>
      <c r="K2212" s="10"/>
    </row>
    <row r="2213" customFormat="false" ht="12.8" hidden="false" customHeight="false" outlineLevel="0" collapsed="false">
      <c r="G2213" s="25" t="n">
        <v>44632</v>
      </c>
      <c r="H2213" s="32" t="s">
        <v>15</v>
      </c>
      <c r="I2213" s="5" t="n">
        <v>71</v>
      </c>
      <c r="J2213" s="54" t="s">
        <v>38</v>
      </c>
      <c r="K2213" s="10"/>
    </row>
    <row r="2214" customFormat="false" ht="12.8" hidden="false" customHeight="false" outlineLevel="0" collapsed="false">
      <c r="G2214" s="25" t="n">
        <v>44632</v>
      </c>
      <c r="H2214" s="32" t="s">
        <v>15</v>
      </c>
      <c r="I2214" s="5" t="n">
        <v>-73.81</v>
      </c>
      <c r="J2214" s="54" t="s">
        <v>37</v>
      </c>
      <c r="K2214" s="10"/>
    </row>
    <row r="2215" customFormat="false" ht="12.8" hidden="false" customHeight="false" outlineLevel="0" collapsed="false">
      <c r="G2215" s="25" t="n">
        <v>44633</v>
      </c>
      <c r="H2215" s="26" t="s">
        <v>10</v>
      </c>
      <c r="I2215" s="5" t="n">
        <v>-74</v>
      </c>
      <c r="J2215" s="54" t="s">
        <v>38</v>
      </c>
      <c r="K2215" s="10"/>
    </row>
    <row r="2216" customFormat="false" ht="12.8" hidden="false" customHeight="false" outlineLevel="0" collapsed="false">
      <c r="G2216" s="25" t="n">
        <v>44633</v>
      </c>
      <c r="H2216" s="32" t="s">
        <v>15</v>
      </c>
      <c r="I2216" s="5" t="n">
        <v>74</v>
      </c>
      <c r="J2216" s="54" t="s">
        <v>38</v>
      </c>
      <c r="K2216" s="10"/>
    </row>
    <row r="2217" customFormat="false" ht="12.8" hidden="false" customHeight="false" outlineLevel="0" collapsed="false">
      <c r="G2217" s="25" t="n">
        <v>44633</v>
      </c>
      <c r="H2217" s="32" t="s">
        <v>15</v>
      </c>
      <c r="I2217" s="5" t="n">
        <v>-71.78</v>
      </c>
      <c r="J2217" s="54" t="s">
        <v>37</v>
      </c>
      <c r="K2217" s="10"/>
    </row>
    <row r="2218" customFormat="false" ht="12.8" hidden="false" customHeight="false" outlineLevel="0" collapsed="false">
      <c r="G2218" s="25" t="n">
        <v>44634</v>
      </c>
      <c r="H2218" s="26" t="s">
        <v>10</v>
      </c>
      <c r="I2218" s="5" t="n">
        <v>-72</v>
      </c>
      <c r="J2218" s="54" t="s">
        <v>38</v>
      </c>
      <c r="K2218" s="10"/>
    </row>
    <row r="2219" customFormat="false" ht="12.8" hidden="false" customHeight="false" outlineLevel="0" collapsed="false">
      <c r="G2219" s="25" t="n">
        <v>44634</v>
      </c>
      <c r="H2219" s="32" t="s">
        <v>15</v>
      </c>
      <c r="I2219" s="5" t="n">
        <v>72</v>
      </c>
      <c r="J2219" s="54" t="s">
        <v>38</v>
      </c>
      <c r="K2219" s="10"/>
    </row>
    <row r="2220" customFormat="false" ht="12.8" hidden="false" customHeight="false" outlineLevel="0" collapsed="false">
      <c r="G2220" s="25" t="n">
        <v>44634</v>
      </c>
      <c r="H2220" s="32" t="s">
        <v>15</v>
      </c>
      <c r="I2220" s="5" t="n">
        <v>-73.02</v>
      </c>
      <c r="J2220" s="54" t="s">
        <v>37</v>
      </c>
      <c r="K2220" s="10"/>
    </row>
    <row r="2221" customFormat="false" ht="12.8" hidden="false" customHeight="false" outlineLevel="0" collapsed="false">
      <c r="G2221" s="25" t="n">
        <v>44635</v>
      </c>
      <c r="H2221" s="26" t="s">
        <v>10</v>
      </c>
      <c r="I2221" s="5" t="n">
        <v>-73</v>
      </c>
      <c r="J2221" s="54" t="s">
        <v>38</v>
      </c>
      <c r="K2221" s="10"/>
    </row>
    <row r="2222" customFormat="false" ht="12.8" hidden="false" customHeight="false" outlineLevel="0" collapsed="false">
      <c r="G2222" s="25" t="n">
        <v>44635</v>
      </c>
      <c r="H2222" s="32" t="s">
        <v>15</v>
      </c>
      <c r="I2222" s="5" t="n">
        <v>73</v>
      </c>
      <c r="J2222" s="54" t="s">
        <v>38</v>
      </c>
      <c r="K2222" s="10"/>
    </row>
    <row r="2223" customFormat="false" ht="12.8" hidden="false" customHeight="false" outlineLevel="0" collapsed="false">
      <c r="G2223" s="25" t="n">
        <v>44635</v>
      </c>
      <c r="H2223" s="32" t="s">
        <v>15</v>
      </c>
      <c r="I2223" s="5" t="n">
        <v>-70.52</v>
      </c>
      <c r="J2223" s="54" t="s">
        <v>37</v>
      </c>
      <c r="K2223" s="10"/>
    </row>
    <row r="2224" customFormat="false" ht="12.8" hidden="false" customHeight="false" outlineLevel="0" collapsed="false">
      <c r="G2224" s="25" t="n">
        <v>44636</v>
      </c>
      <c r="H2224" s="26" t="s">
        <v>10</v>
      </c>
      <c r="I2224" s="5" t="n">
        <v>-70</v>
      </c>
      <c r="J2224" s="54" t="s">
        <v>38</v>
      </c>
      <c r="K2224" s="10"/>
    </row>
    <row r="2225" customFormat="false" ht="12.8" hidden="false" customHeight="false" outlineLevel="0" collapsed="false">
      <c r="G2225" s="25" t="n">
        <v>44636</v>
      </c>
      <c r="H2225" s="32" t="s">
        <v>15</v>
      </c>
      <c r="I2225" s="5" t="n">
        <v>70</v>
      </c>
      <c r="J2225" s="54" t="s">
        <v>38</v>
      </c>
      <c r="K2225" s="10"/>
    </row>
    <row r="2226" customFormat="false" ht="12.8" hidden="false" customHeight="false" outlineLevel="0" collapsed="false">
      <c r="G2226" s="25" t="n">
        <v>44636</v>
      </c>
      <c r="H2226" s="32" t="s">
        <v>15</v>
      </c>
      <c r="I2226" s="5" t="n">
        <v>-56.94</v>
      </c>
      <c r="J2226" s="54" t="s">
        <v>37</v>
      </c>
      <c r="K2226" s="10"/>
    </row>
    <row r="2227" customFormat="false" ht="12.8" hidden="false" customHeight="false" outlineLevel="0" collapsed="false">
      <c r="G2227" s="25" t="n">
        <v>44636</v>
      </c>
      <c r="H2227" s="43" t="s">
        <v>23</v>
      </c>
      <c r="I2227" s="5" t="n">
        <v>500</v>
      </c>
      <c r="J2227" s="54" t="s">
        <v>912</v>
      </c>
      <c r="K2227" s="10"/>
      <c r="L2227" s="54"/>
    </row>
    <row r="2228" customFormat="false" ht="12.8" hidden="false" customHeight="false" outlineLevel="0" collapsed="false">
      <c r="G2228" s="25" t="n">
        <v>44636</v>
      </c>
      <c r="H2228" s="43" t="s">
        <v>23</v>
      </c>
      <c r="I2228" s="5" t="n">
        <v>-55</v>
      </c>
      <c r="J2228" s="10" t="s">
        <v>44</v>
      </c>
      <c r="K2228" s="10"/>
      <c r="L2228" s="10"/>
    </row>
    <row r="2229" customFormat="false" ht="12.8" hidden="false" customHeight="false" outlineLevel="0" collapsed="false">
      <c r="G2229" s="25" t="n">
        <v>44636</v>
      </c>
      <c r="H2229" s="43" t="s">
        <v>23</v>
      </c>
      <c r="I2229" s="5" t="n">
        <v>-119.94</v>
      </c>
      <c r="J2229" s="10" t="s">
        <v>47</v>
      </c>
      <c r="K2229" s="10"/>
      <c r="L2229" s="10"/>
    </row>
    <row r="2230" customFormat="false" ht="12.8" hidden="false" customHeight="false" outlineLevel="0" collapsed="false">
      <c r="G2230" s="25" t="n">
        <v>44636</v>
      </c>
      <c r="H2230" s="43" t="s">
        <v>23</v>
      </c>
      <c r="I2230" s="5" t="n">
        <v>-65.52</v>
      </c>
      <c r="J2230" s="10" t="s">
        <v>48</v>
      </c>
      <c r="K2230" s="10"/>
      <c r="L2230" s="10"/>
    </row>
    <row r="2231" customFormat="false" ht="12.8" hidden="false" customHeight="false" outlineLevel="0" collapsed="false">
      <c r="G2231" s="25" t="n">
        <v>44637</v>
      </c>
      <c r="H2231" s="43" t="s">
        <v>23</v>
      </c>
      <c r="I2231" s="5" t="n">
        <v>-70.48</v>
      </c>
      <c r="J2231" s="10" t="s">
        <v>37</v>
      </c>
      <c r="K2231" s="10"/>
      <c r="L2231" s="10"/>
    </row>
    <row r="2232" customFormat="false" ht="12.8" hidden="false" customHeight="false" outlineLevel="0" collapsed="false">
      <c r="G2232" s="25" t="n">
        <v>44638</v>
      </c>
      <c r="H2232" s="43" t="s">
        <v>23</v>
      </c>
      <c r="I2232" s="5" t="n">
        <v>-59.91</v>
      </c>
      <c r="J2232" s="10" t="s">
        <v>37</v>
      </c>
      <c r="K2232" s="10"/>
      <c r="L2232" s="10"/>
    </row>
    <row r="2233" customFormat="false" ht="12.8" hidden="false" customHeight="false" outlineLevel="0" collapsed="false">
      <c r="G2233" s="25" t="n">
        <v>44638</v>
      </c>
      <c r="H2233" s="43" t="s">
        <v>23</v>
      </c>
      <c r="I2233" s="5" t="n">
        <v>-13</v>
      </c>
      <c r="J2233" s="10" t="s">
        <v>858</v>
      </c>
      <c r="K2233" s="10"/>
      <c r="L2233" s="10"/>
    </row>
    <row r="2234" customFormat="false" ht="12.8" hidden="false" customHeight="false" outlineLevel="0" collapsed="false">
      <c r="G2234" s="25" t="n">
        <v>44638</v>
      </c>
      <c r="H2234" s="38" t="s">
        <v>21</v>
      </c>
      <c r="I2234" s="5" t="n">
        <v>13</v>
      </c>
      <c r="J2234" s="10" t="s">
        <v>858</v>
      </c>
      <c r="K2234" s="10"/>
      <c r="L2234" s="10"/>
    </row>
    <row r="2235" customFormat="false" ht="12.8" hidden="false" customHeight="false" outlineLevel="0" collapsed="false">
      <c r="G2235" s="25" t="n">
        <v>44639</v>
      </c>
      <c r="H2235" s="43" t="s">
        <v>23</v>
      </c>
      <c r="I2235" s="5" t="n">
        <v>-71.56</v>
      </c>
      <c r="J2235" s="10" t="s">
        <v>37</v>
      </c>
      <c r="K2235" s="10"/>
      <c r="L2235" s="10"/>
    </row>
    <row r="2236" customFormat="false" ht="12.8" hidden="false" customHeight="false" outlineLevel="0" collapsed="false">
      <c r="G2236" s="25" t="n">
        <v>44640</v>
      </c>
      <c r="H2236" s="26" t="s">
        <v>10</v>
      </c>
      <c r="I2236" s="5" t="n">
        <v>-23</v>
      </c>
      <c r="J2236" s="54" t="s">
        <v>38</v>
      </c>
      <c r="K2236" s="10"/>
      <c r="L2236" s="10"/>
    </row>
    <row r="2237" customFormat="false" ht="12.8" hidden="false" customHeight="false" outlineLevel="0" collapsed="false">
      <c r="G2237" s="25" t="n">
        <v>44640</v>
      </c>
      <c r="H2237" s="32" t="s">
        <v>15</v>
      </c>
      <c r="I2237" s="5" t="n">
        <v>23</v>
      </c>
      <c r="J2237" s="54" t="s">
        <v>38</v>
      </c>
      <c r="K2237" s="10"/>
      <c r="L2237" s="10"/>
    </row>
    <row r="2238" customFormat="false" ht="12.8" hidden="false" customHeight="false" outlineLevel="0" collapsed="false">
      <c r="G2238" s="25" t="n">
        <v>44640</v>
      </c>
      <c r="H2238" s="43" t="s">
        <v>23</v>
      </c>
      <c r="I2238" s="5" t="n">
        <v>-44.58</v>
      </c>
      <c r="J2238" s="10" t="s">
        <v>37</v>
      </c>
      <c r="K2238" s="10"/>
      <c r="L2238" s="10"/>
    </row>
    <row r="2239" customFormat="false" ht="12.8" hidden="false" customHeight="false" outlineLevel="0" collapsed="false">
      <c r="G2239" s="25" t="n">
        <v>44640</v>
      </c>
      <c r="H2239" s="32" t="s">
        <v>15</v>
      </c>
      <c r="I2239" s="5" t="n">
        <v>-38.27</v>
      </c>
      <c r="J2239" s="54" t="s">
        <v>37</v>
      </c>
      <c r="K2239" s="10"/>
      <c r="L2239" s="10"/>
    </row>
    <row r="2240" customFormat="false" ht="12.8" hidden="false" customHeight="false" outlineLevel="0" collapsed="false">
      <c r="G2240" s="25" t="n">
        <v>44641</v>
      </c>
      <c r="H2240" s="26" t="s">
        <v>10</v>
      </c>
      <c r="I2240" s="5" t="n">
        <v>-73</v>
      </c>
      <c r="J2240" s="54" t="s">
        <v>38</v>
      </c>
      <c r="K2240" s="10"/>
      <c r="L2240" s="10"/>
    </row>
    <row r="2241" customFormat="false" ht="12.8" hidden="false" customHeight="false" outlineLevel="0" collapsed="false">
      <c r="G2241" s="25" t="n">
        <v>44641</v>
      </c>
      <c r="H2241" s="32" t="s">
        <v>15</v>
      </c>
      <c r="I2241" s="5" t="n">
        <v>73</v>
      </c>
      <c r="J2241" s="54" t="s">
        <v>38</v>
      </c>
      <c r="K2241" s="10"/>
      <c r="L2241" s="10"/>
    </row>
    <row r="2242" customFormat="false" ht="12.8" hidden="false" customHeight="false" outlineLevel="0" collapsed="false">
      <c r="G2242" s="25" t="n">
        <v>44641</v>
      </c>
      <c r="H2242" s="32" t="s">
        <v>15</v>
      </c>
      <c r="I2242" s="5" t="n">
        <v>-72.07</v>
      </c>
      <c r="J2242" s="54" t="s">
        <v>37</v>
      </c>
      <c r="K2242" s="10"/>
      <c r="L2242" s="10"/>
    </row>
    <row r="2243" customFormat="false" ht="12.8" hidden="false" customHeight="false" outlineLevel="0" collapsed="false">
      <c r="G2243" s="25" t="n">
        <v>44641</v>
      </c>
      <c r="H2243" s="52" t="s">
        <v>14</v>
      </c>
      <c r="I2243" s="5" t="n">
        <v>-236</v>
      </c>
      <c r="J2243" s="10" t="s">
        <v>1008</v>
      </c>
      <c r="K2243" s="10"/>
      <c r="L2243" s="10"/>
    </row>
    <row r="2244" customFormat="false" ht="12.8" hidden="false" customHeight="false" outlineLevel="0" collapsed="false">
      <c r="G2244" s="25" t="n">
        <v>44641</v>
      </c>
      <c r="H2244" s="48" t="s">
        <v>26</v>
      </c>
      <c r="I2244" s="5" t="n">
        <v>236</v>
      </c>
      <c r="J2244" s="10" t="s">
        <v>1009</v>
      </c>
      <c r="K2244" s="10"/>
      <c r="L2244" s="10"/>
    </row>
    <row r="2245" customFormat="false" ht="12.8" hidden="false" customHeight="false" outlineLevel="0" collapsed="false">
      <c r="G2245" s="25" t="n">
        <v>44641</v>
      </c>
      <c r="H2245" s="52" t="s">
        <v>14</v>
      </c>
      <c r="I2245" s="5" t="n">
        <v>3.52</v>
      </c>
      <c r="J2245" s="10" t="s">
        <v>40</v>
      </c>
      <c r="K2245" s="10"/>
      <c r="L2245" s="10"/>
    </row>
    <row r="2246" customFormat="false" ht="12.8" hidden="false" customHeight="false" outlineLevel="0" collapsed="false">
      <c r="G2246" s="25" t="n">
        <v>44641</v>
      </c>
      <c r="H2246" s="52" t="s">
        <v>14</v>
      </c>
      <c r="I2246" s="5" t="n">
        <v>-120</v>
      </c>
      <c r="J2246" s="10" t="s">
        <v>1010</v>
      </c>
      <c r="K2246" s="10"/>
      <c r="L2246" s="10"/>
    </row>
    <row r="2247" customFormat="false" ht="12.8" hidden="false" customHeight="false" outlineLevel="0" collapsed="false">
      <c r="G2247" s="25" t="n">
        <v>44641</v>
      </c>
      <c r="H2247" s="48" t="s">
        <v>26</v>
      </c>
      <c r="I2247" s="5" t="n">
        <v>120</v>
      </c>
      <c r="J2247" s="10" t="s">
        <v>1010</v>
      </c>
      <c r="K2247" s="10"/>
      <c r="L2247" s="10"/>
    </row>
    <row r="2248" customFormat="false" ht="12.8" hidden="false" customHeight="false" outlineLevel="0" collapsed="false">
      <c r="G2248" s="25" t="n">
        <v>44641</v>
      </c>
      <c r="H2248" s="48" t="s">
        <v>26</v>
      </c>
      <c r="I2248" s="5" t="n">
        <v>-85.34</v>
      </c>
      <c r="J2248" s="10" t="s">
        <v>53</v>
      </c>
      <c r="K2248" s="10"/>
      <c r="L2248" s="10"/>
    </row>
    <row r="2249" customFormat="false" ht="12.8" hidden="false" customHeight="false" outlineLevel="0" collapsed="false">
      <c r="G2249" s="25" t="n">
        <v>44641</v>
      </c>
      <c r="H2249" s="48" t="s">
        <v>26</v>
      </c>
      <c r="I2249" s="5" t="n">
        <v>-20</v>
      </c>
      <c r="J2249" s="10" t="s">
        <v>1011</v>
      </c>
      <c r="K2249" s="10"/>
      <c r="L2249" s="10"/>
    </row>
    <row r="2250" customFormat="false" ht="12.8" hidden="false" customHeight="false" outlineLevel="0" collapsed="false">
      <c r="G2250" s="25" t="n">
        <v>44641</v>
      </c>
      <c r="H2250" s="48" t="s">
        <v>26</v>
      </c>
      <c r="I2250" s="5" t="n">
        <v>-235</v>
      </c>
      <c r="J2250" s="10" t="s">
        <v>1012</v>
      </c>
      <c r="K2250" s="10"/>
      <c r="L2250" s="10"/>
    </row>
    <row r="2251" customFormat="false" ht="12.8" hidden="false" customHeight="false" outlineLevel="0" collapsed="false">
      <c r="G2251" s="25" t="n">
        <v>44641</v>
      </c>
      <c r="H2251" s="52" t="s">
        <v>14</v>
      </c>
      <c r="I2251" s="5" t="n">
        <v>235</v>
      </c>
      <c r="J2251" s="10" t="s">
        <v>1012</v>
      </c>
      <c r="K2251" s="10"/>
      <c r="L2251" s="10"/>
    </row>
    <row r="2252" customFormat="false" ht="12.8" hidden="false" customHeight="false" outlineLevel="0" collapsed="false">
      <c r="G2252" s="25" t="n">
        <v>44641</v>
      </c>
      <c r="H2252" s="52" t="s">
        <v>14</v>
      </c>
      <c r="I2252" s="5" t="n">
        <v>-319</v>
      </c>
      <c r="J2252" s="10" t="s">
        <v>1010</v>
      </c>
      <c r="K2252" s="10"/>
      <c r="L2252" s="10"/>
    </row>
    <row r="2253" customFormat="false" ht="12.8" hidden="false" customHeight="false" outlineLevel="0" collapsed="false">
      <c r="G2253" s="25" t="n">
        <v>44641</v>
      </c>
      <c r="H2253" s="48" t="s">
        <v>26</v>
      </c>
      <c r="I2253" s="5" t="n">
        <v>319</v>
      </c>
      <c r="J2253" s="10" t="s">
        <v>1010</v>
      </c>
      <c r="K2253" s="10"/>
      <c r="L2253" s="10"/>
    </row>
    <row r="2254" customFormat="false" ht="12.8" hidden="false" customHeight="false" outlineLevel="0" collapsed="false">
      <c r="G2254" s="25" t="n">
        <v>44641</v>
      </c>
      <c r="H2254" s="48" t="s">
        <v>26</v>
      </c>
      <c r="I2254" s="5" t="n">
        <v>-318.22</v>
      </c>
      <c r="J2254" s="10" t="s">
        <v>843</v>
      </c>
      <c r="K2254" s="54"/>
      <c r="L2254" s="10"/>
    </row>
    <row r="2255" customFormat="false" ht="12.8" hidden="false" customHeight="false" outlineLevel="0" collapsed="false">
      <c r="G2255" s="25" t="n">
        <v>44642</v>
      </c>
      <c r="H2255" s="26" t="s">
        <v>10</v>
      </c>
      <c r="I2255" s="5" t="n">
        <v>-72</v>
      </c>
      <c r="J2255" s="54" t="s">
        <v>38</v>
      </c>
      <c r="K2255" s="10"/>
      <c r="L2255" s="10"/>
    </row>
    <row r="2256" customFormat="false" ht="12.8" hidden="false" customHeight="false" outlineLevel="0" collapsed="false">
      <c r="G2256" s="25" t="n">
        <v>44642</v>
      </c>
      <c r="H2256" s="32" t="s">
        <v>15</v>
      </c>
      <c r="I2256" s="5" t="n">
        <v>72</v>
      </c>
      <c r="J2256" s="54" t="s">
        <v>38</v>
      </c>
      <c r="K2256" s="10"/>
      <c r="L2256" s="10"/>
    </row>
    <row r="2257" customFormat="false" ht="12.8" hidden="false" customHeight="false" outlineLevel="0" collapsed="false">
      <c r="G2257" s="25" t="n">
        <v>44642</v>
      </c>
      <c r="H2257" s="32" t="s">
        <v>15</v>
      </c>
      <c r="I2257" s="5" t="n">
        <v>-71.72</v>
      </c>
      <c r="J2257" s="54" t="s">
        <v>37</v>
      </c>
      <c r="K2257" s="10"/>
      <c r="L2257" s="10"/>
    </row>
    <row r="2258" customFormat="false" ht="12.8" hidden="false" customHeight="false" outlineLevel="0" collapsed="false">
      <c r="G2258" s="25" t="n">
        <v>44643</v>
      </c>
      <c r="H2258" s="26" t="s">
        <v>10</v>
      </c>
      <c r="I2258" s="5" t="n">
        <v>-71</v>
      </c>
      <c r="J2258" s="54" t="s">
        <v>38</v>
      </c>
      <c r="K2258" s="10"/>
      <c r="L2258" s="10"/>
    </row>
    <row r="2259" customFormat="false" ht="12.8" hidden="false" customHeight="false" outlineLevel="0" collapsed="false">
      <c r="G2259" s="25" t="n">
        <v>44643</v>
      </c>
      <c r="H2259" s="32" t="s">
        <v>15</v>
      </c>
      <c r="I2259" s="5" t="n">
        <v>71</v>
      </c>
      <c r="J2259" s="54" t="s">
        <v>38</v>
      </c>
      <c r="K2259" s="10"/>
      <c r="L2259" s="10"/>
    </row>
    <row r="2260" customFormat="false" ht="12.8" hidden="false" customHeight="false" outlineLevel="0" collapsed="false">
      <c r="G2260" s="25" t="n">
        <v>44643</v>
      </c>
      <c r="H2260" s="52" t="s">
        <v>14</v>
      </c>
      <c r="I2260" s="5" t="n">
        <v>-64</v>
      </c>
      <c r="J2260" s="10" t="s">
        <v>1013</v>
      </c>
      <c r="K2260" s="10"/>
      <c r="L2260" s="10"/>
    </row>
    <row r="2261" customFormat="false" ht="12.8" hidden="false" customHeight="false" outlineLevel="0" collapsed="false">
      <c r="G2261" s="25" t="n">
        <v>44643</v>
      </c>
      <c r="H2261" s="48" t="s">
        <v>26</v>
      </c>
      <c r="I2261" s="5" t="n">
        <v>64</v>
      </c>
      <c r="J2261" s="10" t="s">
        <v>1013</v>
      </c>
      <c r="K2261" s="10"/>
      <c r="L2261" s="10"/>
      <c r="M2261" s="0"/>
    </row>
    <row r="2262" customFormat="false" ht="12.8" hidden="false" customHeight="false" outlineLevel="0" collapsed="false">
      <c r="G2262" s="25" t="n">
        <v>44643</v>
      </c>
      <c r="H2262" s="32" t="s">
        <v>15</v>
      </c>
      <c r="I2262" s="5" t="n">
        <v>-72.9</v>
      </c>
      <c r="J2262" s="54" t="s">
        <v>37</v>
      </c>
      <c r="K2262" s="10"/>
      <c r="L2262" s="10"/>
      <c r="M2262" s="0"/>
    </row>
    <row r="2263" customFormat="false" ht="12.8" hidden="false" customHeight="false" outlineLevel="0" collapsed="false">
      <c r="G2263" s="25" t="n">
        <v>44643</v>
      </c>
      <c r="H2263" s="48" t="s">
        <v>26</v>
      </c>
      <c r="I2263" s="5" t="n">
        <v>-30.81</v>
      </c>
      <c r="J2263" s="10" t="s">
        <v>37</v>
      </c>
      <c r="K2263" s="10"/>
      <c r="L2263" s="10"/>
      <c r="M2263" s="0"/>
    </row>
    <row r="2264" customFormat="false" ht="12.8" hidden="false" customHeight="false" outlineLevel="0" collapsed="false">
      <c r="G2264" s="25" t="n">
        <v>44643</v>
      </c>
      <c r="H2264" s="48" t="s">
        <v>26</v>
      </c>
      <c r="I2264" s="5" t="n">
        <v>-40</v>
      </c>
      <c r="J2264" s="10" t="s">
        <v>952</v>
      </c>
      <c r="K2264" s="10"/>
      <c r="L2264" s="10"/>
    </row>
    <row r="2265" customFormat="false" ht="12.8" hidden="false" customHeight="false" outlineLevel="0" collapsed="false">
      <c r="G2265" s="25" t="n">
        <v>44644</v>
      </c>
      <c r="H2265" s="52" t="s">
        <v>14</v>
      </c>
      <c r="I2265" s="5" t="n">
        <v>-774</v>
      </c>
      <c r="J2265" s="10" t="s">
        <v>1014</v>
      </c>
      <c r="K2265" s="10"/>
      <c r="L2265" s="10"/>
    </row>
    <row r="2266" customFormat="false" ht="12.8" hidden="false" customHeight="false" outlineLevel="0" collapsed="false">
      <c r="G2266" s="25" t="n">
        <v>44644</v>
      </c>
      <c r="H2266" s="48" t="s">
        <v>26</v>
      </c>
      <c r="I2266" s="5" t="n">
        <v>774</v>
      </c>
      <c r="J2266" s="10" t="s">
        <v>66</v>
      </c>
      <c r="K2266" s="10"/>
      <c r="L2266" s="10"/>
    </row>
    <row r="2267" customFormat="false" ht="12.8" hidden="false" customHeight="false" outlineLevel="0" collapsed="false">
      <c r="G2267" s="25" t="n">
        <v>44644</v>
      </c>
      <c r="H2267" s="48" t="s">
        <v>26</v>
      </c>
      <c r="I2267" s="5" t="n">
        <v>-715</v>
      </c>
      <c r="J2267" s="10" t="s">
        <v>1015</v>
      </c>
      <c r="K2267" s="10"/>
      <c r="L2267" s="10"/>
    </row>
    <row r="2268" customFormat="false" ht="12.8" hidden="false" customHeight="false" outlineLevel="0" collapsed="false">
      <c r="G2268" s="25" t="n">
        <v>44644</v>
      </c>
      <c r="H2268" s="48" t="s">
        <v>26</v>
      </c>
      <c r="I2268" s="5" t="n">
        <v>-3</v>
      </c>
      <c r="J2268" s="10" t="s">
        <v>932</v>
      </c>
      <c r="K2268" s="10"/>
      <c r="L2268" s="10"/>
    </row>
    <row r="2269" customFormat="false" ht="12.8" hidden="false" customHeight="false" outlineLevel="0" collapsed="false">
      <c r="G2269" s="25" t="n">
        <v>44644</v>
      </c>
      <c r="H2269" s="52" t="s">
        <v>14</v>
      </c>
      <c r="I2269" s="5" t="n">
        <v>-80</v>
      </c>
      <c r="J2269" s="10" t="s">
        <v>1016</v>
      </c>
      <c r="K2269" s="10"/>
      <c r="L2269" s="10"/>
      <c r="M2269" s="0"/>
    </row>
    <row r="2270" customFormat="false" ht="12.8" hidden="false" customHeight="false" outlineLevel="0" collapsed="false">
      <c r="G2270" s="25" t="n">
        <v>44644</v>
      </c>
      <c r="H2270" s="48" t="s">
        <v>26</v>
      </c>
      <c r="I2270" s="5" t="n">
        <v>80</v>
      </c>
      <c r="J2270" s="10" t="s">
        <v>1016</v>
      </c>
      <c r="K2270" s="10"/>
      <c r="L2270" s="10"/>
      <c r="M2270" s="0"/>
    </row>
    <row r="2271" customFormat="false" ht="12.8" hidden="false" customHeight="false" outlineLevel="0" collapsed="false">
      <c r="G2271" s="25" t="n">
        <v>44644</v>
      </c>
      <c r="H2271" s="48" t="s">
        <v>26</v>
      </c>
      <c r="I2271" s="5" t="n">
        <v>-72.95</v>
      </c>
      <c r="J2271" s="10" t="s">
        <v>1017</v>
      </c>
      <c r="K2271" s="10"/>
      <c r="L2271" s="10"/>
      <c r="M2271" s="0"/>
    </row>
    <row r="2272" customFormat="false" ht="12.8" hidden="false" customHeight="false" outlineLevel="0" collapsed="false">
      <c r="G2272" s="25" t="n">
        <v>44644</v>
      </c>
      <c r="H2272" s="26" t="s">
        <v>10</v>
      </c>
      <c r="I2272" s="5" t="n">
        <v>-73</v>
      </c>
      <c r="J2272" s="54" t="s">
        <v>38</v>
      </c>
      <c r="K2272" s="10"/>
      <c r="L2272" s="10"/>
      <c r="M2272" s="0"/>
      <c r="N2272" s="0"/>
    </row>
    <row r="2273" customFormat="false" ht="12.8" hidden="false" customHeight="false" outlineLevel="0" collapsed="false">
      <c r="G2273" s="25" t="n">
        <v>44644</v>
      </c>
      <c r="H2273" s="32" t="s">
        <v>15</v>
      </c>
      <c r="I2273" s="5" t="n">
        <v>73</v>
      </c>
      <c r="J2273" s="54" t="s">
        <v>38</v>
      </c>
      <c r="K2273" s="10"/>
      <c r="L2273" s="10"/>
      <c r="M2273" s="0"/>
    </row>
    <row r="2274" customFormat="false" ht="12.8" hidden="false" customHeight="false" outlineLevel="0" collapsed="false">
      <c r="G2274" s="25" t="n">
        <v>44644</v>
      </c>
      <c r="H2274" s="32" t="s">
        <v>15</v>
      </c>
      <c r="I2274" s="5" t="n">
        <v>-75.07</v>
      </c>
      <c r="J2274" s="10" t="s">
        <v>37</v>
      </c>
      <c r="K2274" s="10"/>
      <c r="L2274" s="10"/>
      <c r="M2274" s="0"/>
    </row>
    <row r="2275" customFormat="false" ht="12.8" hidden="false" customHeight="false" outlineLevel="0" collapsed="false">
      <c r="G2275" s="25" t="n">
        <v>44644</v>
      </c>
      <c r="H2275" s="26" t="s">
        <v>10</v>
      </c>
      <c r="I2275" s="5" t="n">
        <v>-150</v>
      </c>
      <c r="J2275" s="54" t="s">
        <v>978</v>
      </c>
      <c r="K2275" s="10"/>
      <c r="L2275" s="10"/>
      <c r="M2275" s="0"/>
    </row>
    <row r="2276" customFormat="false" ht="12.8" hidden="false" customHeight="false" outlineLevel="0" collapsed="false">
      <c r="G2276" s="25" t="n">
        <v>44644</v>
      </c>
      <c r="H2276" s="32" t="s">
        <v>15</v>
      </c>
      <c r="I2276" s="5" t="n">
        <v>150</v>
      </c>
      <c r="J2276" s="54" t="s">
        <v>978</v>
      </c>
      <c r="K2276" s="10"/>
      <c r="L2276" s="10"/>
    </row>
    <row r="2277" customFormat="false" ht="12.8" hidden="false" customHeight="false" outlineLevel="0" collapsed="false">
      <c r="G2277" s="25" t="n">
        <v>44645</v>
      </c>
      <c r="H2277" s="32" t="s">
        <v>15</v>
      </c>
      <c r="I2277" s="5" t="n">
        <v>-150</v>
      </c>
      <c r="J2277" s="54" t="s">
        <v>979</v>
      </c>
      <c r="K2277" s="10"/>
      <c r="L2277" s="10"/>
    </row>
    <row r="2278" customFormat="false" ht="12.8" hidden="false" customHeight="false" outlineLevel="0" collapsed="false">
      <c r="G2278" s="25" t="n">
        <v>44645</v>
      </c>
      <c r="H2278" s="26" t="s">
        <v>10</v>
      </c>
      <c r="I2278" s="5" t="n">
        <v>-75</v>
      </c>
      <c r="J2278" s="54" t="s">
        <v>38</v>
      </c>
      <c r="K2278" s="10"/>
      <c r="L2278" s="10"/>
    </row>
    <row r="2279" customFormat="false" ht="12.8" hidden="false" customHeight="false" outlineLevel="0" collapsed="false">
      <c r="G2279" s="25" t="n">
        <v>44645</v>
      </c>
      <c r="H2279" s="32" t="s">
        <v>15</v>
      </c>
      <c r="I2279" s="5" t="n">
        <v>75</v>
      </c>
      <c r="J2279" s="54" t="s">
        <v>38</v>
      </c>
      <c r="K2279" s="10"/>
      <c r="L2279" s="10"/>
    </row>
    <row r="2280" customFormat="false" ht="12.8" hidden="false" customHeight="false" outlineLevel="0" collapsed="false">
      <c r="G2280" s="25" t="n">
        <v>44645</v>
      </c>
      <c r="H2280" s="32" t="s">
        <v>15</v>
      </c>
      <c r="I2280" s="5" t="n">
        <v>-69.68</v>
      </c>
      <c r="J2280" s="54" t="s">
        <v>37</v>
      </c>
      <c r="K2280" s="10"/>
      <c r="L2280" s="10"/>
    </row>
    <row r="2281" customFormat="false" ht="12.8" hidden="false" customHeight="false" outlineLevel="0" collapsed="false">
      <c r="G2281" s="25" t="n">
        <v>44646</v>
      </c>
      <c r="H2281" s="26" t="s">
        <v>10</v>
      </c>
      <c r="I2281" s="5" t="n">
        <v>-75</v>
      </c>
      <c r="J2281" s="54" t="s">
        <v>38</v>
      </c>
      <c r="K2281" s="10"/>
      <c r="L2281" s="10"/>
    </row>
    <row r="2282" customFormat="false" ht="12.8" hidden="false" customHeight="false" outlineLevel="0" collapsed="false">
      <c r="G2282" s="25" t="n">
        <v>44646</v>
      </c>
      <c r="H2282" s="32" t="s">
        <v>15</v>
      </c>
      <c r="I2282" s="5" t="n">
        <v>75</v>
      </c>
      <c r="J2282" s="54" t="s">
        <v>38</v>
      </c>
      <c r="K2282" s="10"/>
      <c r="L2282" s="10"/>
    </row>
    <row r="2283" customFormat="false" ht="12.8" hidden="false" customHeight="false" outlineLevel="0" collapsed="false">
      <c r="G2283" s="25" t="n">
        <v>44646</v>
      </c>
      <c r="H2283" s="32" t="s">
        <v>15</v>
      </c>
      <c r="I2283" s="5" t="n">
        <v>-69.76</v>
      </c>
      <c r="J2283" s="54" t="s">
        <v>37</v>
      </c>
      <c r="K2283" s="10"/>
      <c r="L2283" s="10"/>
    </row>
    <row r="2284" customFormat="false" ht="12.8" hidden="false" customHeight="false" outlineLevel="0" collapsed="false">
      <c r="G2284" s="25" t="n">
        <v>44647</v>
      </c>
      <c r="H2284" s="52" t="s">
        <v>14</v>
      </c>
      <c r="I2284" s="5" t="n">
        <v>0.65</v>
      </c>
      <c r="J2284" s="10" t="s">
        <v>40</v>
      </c>
      <c r="K2284" s="54"/>
      <c r="L2284" s="54"/>
    </row>
    <row r="2285" customFormat="false" ht="12.8" hidden="false" customHeight="false" outlineLevel="0" collapsed="false">
      <c r="G2285" s="25" t="n">
        <v>44647</v>
      </c>
      <c r="H2285" s="26" t="s">
        <v>10</v>
      </c>
      <c r="I2285" s="5" t="n">
        <v>-70</v>
      </c>
      <c r="J2285" s="54" t="s">
        <v>38</v>
      </c>
      <c r="K2285" s="10"/>
      <c r="L2285" s="10"/>
    </row>
    <row r="2286" customFormat="false" ht="12.8" hidden="false" customHeight="false" outlineLevel="0" collapsed="false">
      <c r="G2286" s="25" t="n">
        <v>44647</v>
      </c>
      <c r="H2286" s="32" t="s">
        <v>15</v>
      </c>
      <c r="I2286" s="5" t="n">
        <v>70</v>
      </c>
      <c r="J2286" s="54" t="s">
        <v>38</v>
      </c>
      <c r="K2286" s="10"/>
      <c r="L2286" s="10"/>
    </row>
    <row r="2287" customFormat="false" ht="12.8" hidden="false" customHeight="false" outlineLevel="0" collapsed="false">
      <c r="G2287" s="25" t="n">
        <v>44647</v>
      </c>
      <c r="H2287" s="32" t="s">
        <v>15</v>
      </c>
      <c r="I2287" s="5" t="n">
        <v>-67.33</v>
      </c>
      <c r="J2287" s="54" t="s">
        <v>37</v>
      </c>
      <c r="K2287" s="10"/>
      <c r="L2287" s="10"/>
    </row>
    <row r="2288" customFormat="false" ht="12.8" hidden="false" customHeight="false" outlineLevel="0" collapsed="false">
      <c r="G2288" s="25" t="n">
        <v>44648</v>
      </c>
      <c r="H2288" s="48" t="s">
        <v>26</v>
      </c>
      <c r="I2288" s="5" t="n">
        <v>-50</v>
      </c>
      <c r="J2288" s="10" t="s">
        <v>1018</v>
      </c>
      <c r="K2288" s="10"/>
      <c r="L2288" s="10"/>
    </row>
    <row r="2289" customFormat="false" ht="12.8" hidden="false" customHeight="false" outlineLevel="0" collapsed="false">
      <c r="G2289" s="25" t="n">
        <v>44648</v>
      </c>
      <c r="H2289" s="52" t="s">
        <v>14</v>
      </c>
      <c r="I2289" s="5" t="n">
        <v>50</v>
      </c>
      <c r="J2289" s="10" t="s">
        <v>1018</v>
      </c>
      <c r="K2289" s="10"/>
      <c r="L2289" s="10"/>
    </row>
    <row r="2290" customFormat="false" ht="12.8" hidden="false" customHeight="false" outlineLevel="0" collapsed="false">
      <c r="G2290" s="25" t="n">
        <v>44648</v>
      </c>
      <c r="H2290" s="32" t="s">
        <v>15</v>
      </c>
      <c r="I2290" s="5" t="n">
        <v>-5</v>
      </c>
      <c r="J2290" s="54" t="s">
        <v>1019</v>
      </c>
      <c r="K2290" s="10"/>
      <c r="L2290" s="10"/>
    </row>
    <row r="2291" customFormat="false" ht="12.8" hidden="false" customHeight="false" outlineLevel="0" collapsed="false">
      <c r="G2291" s="25" t="n">
        <v>44648</v>
      </c>
      <c r="H2291" s="26" t="s">
        <v>10</v>
      </c>
      <c r="I2291" s="5" t="n">
        <v>-67</v>
      </c>
      <c r="J2291" s="54" t="s">
        <v>38</v>
      </c>
      <c r="K2291" s="10"/>
      <c r="L2291" s="10"/>
    </row>
    <row r="2292" customFormat="false" ht="12.8" hidden="false" customHeight="false" outlineLevel="0" collapsed="false">
      <c r="G2292" s="25" t="n">
        <v>44648</v>
      </c>
      <c r="H2292" s="32" t="s">
        <v>15</v>
      </c>
      <c r="I2292" s="5" t="n">
        <v>67</v>
      </c>
      <c r="J2292" s="54" t="s">
        <v>38</v>
      </c>
      <c r="K2292" s="10"/>
      <c r="L2292" s="10"/>
    </row>
    <row r="2293" customFormat="false" ht="12.8" hidden="false" customHeight="false" outlineLevel="0" collapsed="false">
      <c r="G2293" s="25" t="n">
        <v>44648</v>
      </c>
      <c r="H2293" s="32" t="s">
        <v>15</v>
      </c>
      <c r="I2293" s="5" t="n">
        <v>-69.62</v>
      </c>
      <c r="J2293" s="54" t="s">
        <v>37</v>
      </c>
      <c r="K2293" s="10"/>
      <c r="L2293" s="10"/>
    </row>
    <row r="2294" customFormat="false" ht="12.8" hidden="false" customHeight="false" outlineLevel="0" collapsed="false">
      <c r="G2294" s="25" t="n">
        <v>44649</v>
      </c>
      <c r="H2294" s="26" t="s">
        <v>10</v>
      </c>
      <c r="I2294" s="5" t="n">
        <v>-70</v>
      </c>
      <c r="J2294" s="54" t="s">
        <v>38</v>
      </c>
      <c r="K2294" s="10"/>
      <c r="L2294" s="10"/>
    </row>
    <row r="2295" customFormat="false" ht="12.8" hidden="false" customHeight="false" outlineLevel="0" collapsed="false">
      <c r="G2295" s="25" t="n">
        <v>44649</v>
      </c>
      <c r="H2295" s="32" t="s">
        <v>15</v>
      </c>
      <c r="I2295" s="5" t="n">
        <v>70</v>
      </c>
      <c r="J2295" s="54" t="s">
        <v>38</v>
      </c>
      <c r="K2295" s="10"/>
      <c r="L2295" s="10"/>
    </row>
    <row r="2296" customFormat="false" ht="12.8" hidden="false" customHeight="false" outlineLevel="0" collapsed="false">
      <c r="G2296" s="25" t="n">
        <v>44649</v>
      </c>
      <c r="H2296" s="32" t="s">
        <v>15</v>
      </c>
      <c r="I2296" s="5" t="n">
        <v>-68.84</v>
      </c>
      <c r="J2296" s="54" t="s">
        <v>37</v>
      </c>
      <c r="K2296" s="10"/>
      <c r="L2296" s="10"/>
    </row>
    <row r="2297" customFormat="false" ht="12.8" hidden="false" customHeight="false" outlineLevel="0" collapsed="false">
      <c r="G2297" s="25" t="n">
        <v>44650</v>
      </c>
      <c r="H2297" s="26" t="s">
        <v>10</v>
      </c>
      <c r="I2297" s="5" t="n">
        <v>-69</v>
      </c>
      <c r="J2297" s="54" t="s">
        <v>38</v>
      </c>
      <c r="K2297" s="10"/>
      <c r="L2297" s="10"/>
    </row>
    <row r="2298" customFormat="false" ht="12.8" hidden="false" customHeight="false" outlineLevel="0" collapsed="false">
      <c r="G2298" s="25" t="n">
        <v>44650</v>
      </c>
      <c r="H2298" s="32" t="s">
        <v>15</v>
      </c>
      <c r="I2298" s="5" t="n">
        <v>69</v>
      </c>
      <c r="J2298" s="54" t="s">
        <v>38</v>
      </c>
      <c r="K2298" s="10"/>
      <c r="L2298" s="10"/>
    </row>
    <row r="2299" customFormat="false" ht="12.8" hidden="false" customHeight="false" outlineLevel="0" collapsed="false">
      <c r="G2299" s="25" t="n">
        <v>44650</v>
      </c>
      <c r="H2299" s="32" t="s">
        <v>15</v>
      </c>
      <c r="I2299" s="5" t="n">
        <v>-70.73</v>
      </c>
      <c r="J2299" s="54" t="s">
        <v>37</v>
      </c>
      <c r="K2299" s="10"/>
      <c r="L2299" s="10"/>
    </row>
    <row r="2300" customFormat="false" ht="12.8" hidden="false" customHeight="false" outlineLevel="0" collapsed="false">
      <c r="G2300" s="25" t="n">
        <v>44650</v>
      </c>
      <c r="H2300" s="26" t="s">
        <v>10</v>
      </c>
      <c r="I2300" s="5" t="n">
        <v>-17</v>
      </c>
      <c r="J2300" s="54" t="s">
        <v>38</v>
      </c>
      <c r="K2300" s="10"/>
      <c r="L2300" s="10"/>
    </row>
    <row r="2301" customFormat="false" ht="12.8" hidden="false" customHeight="false" outlineLevel="0" collapsed="false">
      <c r="G2301" s="25" t="n">
        <v>44650</v>
      </c>
      <c r="H2301" s="32" t="s">
        <v>15</v>
      </c>
      <c r="I2301" s="5" t="n">
        <v>17</v>
      </c>
      <c r="J2301" s="54" t="s">
        <v>38</v>
      </c>
      <c r="K2301" s="10"/>
      <c r="L2301" s="10"/>
    </row>
    <row r="2302" customFormat="false" ht="12.8" hidden="false" customHeight="false" outlineLevel="0" collapsed="false">
      <c r="G2302" s="25" t="n">
        <v>44650</v>
      </c>
      <c r="H2302" s="32" t="s">
        <v>15</v>
      </c>
      <c r="I2302" s="5" t="n">
        <v>-17.5</v>
      </c>
      <c r="J2302" s="54" t="s">
        <v>37</v>
      </c>
      <c r="K2302" s="10"/>
      <c r="L2302" s="10"/>
    </row>
    <row r="2303" customFormat="false" ht="12.8" hidden="false" customHeight="false" outlineLevel="0" collapsed="false">
      <c r="G2303" s="25" t="n">
        <v>44650</v>
      </c>
      <c r="H2303" s="26" t="s">
        <v>10</v>
      </c>
      <c r="I2303" s="5" t="n">
        <v>-100</v>
      </c>
      <c r="J2303" s="54" t="s">
        <v>1020</v>
      </c>
      <c r="K2303" s="10"/>
      <c r="L2303" s="10"/>
    </row>
    <row r="2304" customFormat="false" ht="12.8" hidden="false" customHeight="false" outlineLevel="0" collapsed="false">
      <c r="G2304" s="25" t="n">
        <v>44650</v>
      </c>
      <c r="H2304" s="32" t="s">
        <v>15</v>
      </c>
      <c r="I2304" s="5" t="n">
        <v>100</v>
      </c>
      <c r="J2304" s="54" t="s">
        <v>1020</v>
      </c>
      <c r="K2304" s="10"/>
      <c r="L2304" s="10"/>
    </row>
    <row r="2305" customFormat="false" ht="12.8" hidden="false" customHeight="false" outlineLevel="0" collapsed="false">
      <c r="G2305" s="25" t="n">
        <v>44650</v>
      </c>
      <c r="H2305" s="32" t="s">
        <v>15</v>
      </c>
      <c r="I2305" s="5" t="n">
        <v>-100</v>
      </c>
      <c r="J2305" s="54" t="s">
        <v>1021</v>
      </c>
      <c r="K2305" s="10"/>
      <c r="L2305" s="10"/>
    </row>
    <row r="2306" customFormat="false" ht="12.8" hidden="false" customHeight="false" outlineLevel="0" collapsed="false">
      <c r="G2306" s="25" t="n">
        <v>44650</v>
      </c>
      <c r="H2306" s="48" t="s">
        <v>26</v>
      </c>
      <c r="I2306" s="5" t="n">
        <v>100</v>
      </c>
      <c r="J2306" s="54" t="s">
        <v>1021</v>
      </c>
      <c r="K2306" s="10"/>
      <c r="L2306" s="10"/>
    </row>
    <row r="2307" customFormat="false" ht="12.8" hidden="false" customHeight="false" outlineLevel="0" collapsed="false">
      <c r="G2307" s="25" t="n">
        <v>44650</v>
      </c>
      <c r="H2307" s="43" t="s">
        <v>23</v>
      </c>
      <c r="I2307" s="5" t="n">
        <v>250</v>
      </c>
      <c r="J2307" s="54" t="s">
        <v>912</v>
      </c>
      <c r="K2307" s="10"/>
      <c r="L2307" s="10"/>
    </row>
    <row r="2308" customFormat="false" ht="12.8" hidden="false" customHeight="false" outlineLevel="0" collapsed="false">
      <c r="G2308" s="25" t="n">
        <v>44650</v>
      </c>
      <c r="H2308" s="43" t="s">
        <v>23</v>
      </c>
      <c r="I2308" s="5" t="n">
        <v>-5</v>
      </c>
      <c r="J2308" s="10" t="s">
        <v>953</v>
      </c>
      <c r="K2308" s="10"/>
      <c r="L2308" s="10"/>
    </row>
    <row r="2309" customFormat="false" ht="12.8" hidden="false" customHeight="false" outlineLevel="0" collapsed="false">
      <c r="G2309" s="25" t="n">
        <v>44650</v>
      </c>
      <c r="H2309" s="26" t="s">
        <v>10</v>
      </c>
      <c r="I2309" s="5" t="n">
        <v>-100</v>
      </c>
      <c r="J2309" s="54" t="s">
        <v>1022</v>
      </c>
      <c r="K2309" s="10"/>
      <c r="L2309" s="10"/>
    </row>
    <row r="2310" customFormat="false" ht="12.8" hidden="false" customHeight="false" outlineLevel="0" collapsed="false">
      <c r="G2310" s="25" t="n">
        <v>44650</v>
      </c>
      <c r="H2310" s="32" t="s">
        <v>15</v>
      </c>
      <c r="I2310" s="5" t="n">
        <v>100</v>
      </c>
      <c r="J2310" s="54" t="s">
        <v>1022</v>
      </c>
      <c r="K2310" s="10"/>
      <c r="L2310" s="10"/>
    </row>
    <row r="2311" customFormat="false" ht="12.8" hidden="false" customHeight="false" outlineLevel="0" collapsed="false">
      <c r="G2311" s="25" t="n">
        <v>44650</v>
      </c>
      <c r="H2311" s="32" t="s">
        <v>15</v>
      </c>
      <c r="I2311" s="5" t="n">
        <v>-100</v>
      </c>
      <c r="J2311" s="54" t="s">
        <v>1021</v>
      </c>
      <c r="K2311" s="10"/>
      <c r="L2311" s="10"/>
    </row>
    <row r="2312" customFormat="false" ht="12.8" hidden="false" customHeight="false" outlineLevel="0" collapsed="false">
      <c r="G2312" s="25" t="n">
        <v>44650</v>
      </c>
      <c r="H2312" s="48" t="s">
        <v>26</v>
      </c>
      <c r="I2312" s="5" t="n">
        <v>100</v>
      </c>
      <c r="J2312" s="54" t="s">
        <v>1021</v>
      </c>
      <c r="K2312" s="10"/>
      <c r="L2312" s="10"/>
    </row>
    <row r="2313" customFormat="false" ht="12.8" hidden="false" customHeight="false" outlineLevel="0" collapsed="false">
      <c r="G2313" s="25" t="n">
        <v>44651</v>
      </c>
      <c r="H2313" s="26" t="s">
        <v>10</v>
      </c>
      <c r="I2313" s="5" t="n">
        <v>-71</v>
      </c>
      <c r="J2313" s="54" t="s">
        <v>38</v>
      </c>
      <c r="K2313" s="10"/>
      <c r="L2313" s="10"/>
    </row>
    <row r="2314" customFormat="false" ht="12.8" hidden="false" customHeight="false" outlineLevel="0" collapsed="false">
      <c r="G2314" s="25" t="n">
        <v>44651</v>
      </c>
      <c r="H2314" s="32" t="s">
        <v>15</v>
      </c>
      <c r="I2314" s="5" t="n">
        <v>71</v>
      </c>
      <c r="J2314" s="54" t="s">
        <v>38</v>
      </c>
      <c r="K2314" s="10"/>
      <c r="L2314" s="10"/>
    </row>
    <row r="2315" customFormat="false" ht="12.8" hidden="false" customHeight="false" outlineLevel="0" collapsed="false">
      <c r="G2315" s="25" t="n">
        <v>44651</v>
      </c>
      <c r="H2315" s="32" t="s">
        <v>15</v>
      </c>
      <c r="I2315" s="5" t="n">
        <v>-66.68</v>
      </c>
      <c r="J2315" s="54" t="s">
        <v>37</v>
      </c>
      <c r="K2315" s="10"/>
      <c r="L2315" s="10"/>
    </row>
    <row r="2316" customFormat="false" ht="12.8" hidden="false" customHeight="false" outlineLevel="0" collapsed="false">
      <c r="G2316" s="25" t="n">
        <v>44651</v>
      </c>
      <c r="H2316" s="48" t="s">
        <v>26</v>
      </c>
      <c r="I2316" s="5" t="n">
        <v>-100</v>
      </c>
      <c r="J2316" s="54" t="s">
        <v>1012</v>
      </c>
      <c r="K2316" s="10"/>
      <c r="L2316" s="10"/>
    </row>
    <row r="2317" customFormat="false" ht="12.8" hidden="false" customHeight="false" outlineLevel="0" collapsed="false">
      <c r="G2317" s="25" t="n">
        <v>44651</v>
      </c>
      <c r="H2317" s="52" t="s">
        <v>14</v>
      </c>
      <c r="I2317" s="5" t="n">
        <v>100</v>
      </c>
      <c r="J2317" s="54" t="s">
        <v>1012</v>
      </c>
      <c r="K2317" s="10"/>
      <c r="L2317" s="10"/>
      <c r="M2317" s="0"/>
    </row>
    <row r="2318" customFormat="false" ht="12.8" hidden="false" customHeight="false" outlineLevel="0" collapsed="false">
      <c r="G2318" s="25" t="n">
        <v>44652</v>
      </c>
      <c r="H2318" s="48" t="s">
        <v>26</v>
      </c>
      <c r="I2318" s="5" t="n">
        <v>-15</v>
      </c>
      <c r="J2318" s="10" t="s">
        <v>846</v>
      </c>
      <c r="K2318" s="10"/>
      <c r="L2318" s="10"/>
    </row>
    <row r="2319" customFormat="false" ht="12.8" hidden="false" customHeight="false" outlineLevel="0" collapsed="false">
      <c r="G2319" s="25" t="n">
        <v>44652</v>
      </c>
      <c r="H2319" s="52" t="s">
        <v>14</v>
      </c>
      <c r="I2319" s="5" t="n">
        <v>-2000</v>
      </c>
      <c r="J2319" s="10" t="s">
        <v>66</v>
      </c>
      <c r="K2319" s="10"/>
      <c r="L2319" s="10"/>
    </row>
    <row r="2320" customFormat="false" ht="12.8" hidden="false" customHeight="false" outlineLevel="0" collapsed="false">
      <c r="G2320" s="25" t="n">
        <v>44652</v>
      </c>
      <c r="H2320" s="48" t="s">
        <v>26</v>
      </c>
      <c r="I2320" s="5" t="n">
        <v>2000</v>
      </c>
      <c r="J2320" s="10" t="s">
        <v>66</v>
      </c>
      <c r="K2320" s="10"/>
      <c r="L2320" s="10"/>
    </row>
    <row r="2321" customFormat="false" ht="12.8" hidden="false" customHeight="false" outlineLevel="0" collapsed="false">
      <c r="G2321" s="25" t="n">
        <v>44652</v>
      </c>
      <c r="H2321" s="48" t="s">
        <v>26</v>
      </c>
      <c r="I2321" s="5" t="n">
        <v>-2000</v>
      </c>
      <c r="J2321" s="10" t="s">
        <v>146</v>
      </c>
      <c r="K2321" s="10"/>
      <c r="L2321" s="10"/>
    </row>
    <row r="2322" customFormat="false" ht="12.8" hidden="false" customHeight="false" outlineLevel="0" collapsed="false">
      <c r="G2322" s="25" t="n">
        <v>44652</v>
      </c>
      <c r="H2322" s="48" t="s">
        <v>26</v>
      </c>
      <c r="I2322" s="5" t="n">
        <v>-3</v>
      </c>
      <c r="J2322" s="10" t="s">
        <v>1023</v>
      </c>
      <c r="K2322" s="10"/>
      <c r="L2322" s="10"/>
    </row>
    <row r="2323" customFormat="false" ht="12.8" hidden="false" customHeight="false" outlineLevel="0" collapsed="false">
      <c r="G2323" s="25" t="n">
        <v>44652</v>
      </c>
      <c r="H2323" s="32" t="s">
        <v>15</v>
      </c>
      <c r="I2323" s="5" t="n">
        <v>2000</v>
      </c>
      <c r="J2323" s="10" t="s">
        <v>146</v>
      </c>
      <c r="K2323" s="10"/>
      <c r="L2323" s="10"/>
    </row>
    <row r="2324" customFormat="false" ht="12.8" hidden="false" customHeight="false" outlineLevel="0" collapsed="false">
      <c r="G2324" s="25" t="n">
        <v>44652</v>
      </c>
      <c r="H2324" s="26" t="s">
        <v>10</v>
      </c>
      <c r="I2324" s="5" t="n">
        <v>0.36</v>
      </c>
      <c r="J2324" s="10" t="s">
        <v>40</v>
      </c>
      <c r="K2324" s="10"/>
      <c r="L2324" s="10"/>
    </row>
    <row r="2325" customFormat="false" ht="12.8" hidden="false" customHeight="false" outlineLevel="0" collapsed="false">
      <c r="G2325" s="25" t="n">
        <v>44652</v>
      </c>
      <c r="H2325" s="43" t="s">
        <v>23</v>
      </c>
      <c r="I2325" s="5" t="n">
        <v>-5</v>
      </c>
      <c r="J2325" s="10" t="s">
        <v>82</v>
      </c>
      <c r="K2325" s="10"/>
      <c r="L2325" s="10"/>
    </row>
    <row r="2326" customFormat="false" ht="12.8" hidden="false" customHeight="false" outlineLevel="0" collapsed="false">
      <c r="G2326" s="25" t="n">
        <v>44652</v>
      </c>
      <c r="H2326" s="43" t="s">
        <v>23</v>
      </c>
      <c r="I2326" s="5" t="n">
        <v>-71.97</v>
      </c>
      <c r="J2326" s="10" t="s">
        <v>37</v>
      </c>
      <c r="K2326" s="10"/>
      <c r="L2326" s="10"/>
    </row>
    <row r="2327" customFormat="false" ht="12.8" hidden="false" customHeight="false" outlineLevel="0" collapsed="false">
      <c r="G2327" s="25" t="n">
        <v>44652</v>
      </c>
      <c r="H2327" s="43" t="s">
        <v>23</v>
      </c>
      <c r="I2327" s="5" t="n">
        <v>-21</v>
      </c>
      <c r="J2327" s="10" t="s">
        <v>37</v>
      </c>
      <c r="K2327" s="10"/>
      <c r="L2327" s="10"/>
    </row>
    <row r="2328" customFormat="false" ht="12.8" hidden="false" customHeight="false" outlineLevel="0" collapsed="false">
      <c r="G2328" s="25" t="n">
        <v>44652</v>
      </c>
      <c r="H2328" s="32" t="s">
        <v>15</v>
      </c>
      <c r="I2328" s="5" t="n">
        <v>-1999.64</v>
      </c>
      <c r="J2328" s="10" t="s">
        <v>1012</v>
      </c>
      <c r="K2328" s="10"/>
      <c r="L2328" s="10"/>
    </row>
    <row r="2329" customFormat="false" ht="12.8" hidden="false" customHeight="false" outlineLevel="0" collapsed="false">
      <c r="G2329" s="25" t="n">
        <v>44652</v>
      </c>
      <c r="H2329" s="26" t="s">
        <v>10</v>
      </c>
      <c r="I2329" s="5" t="n">
        <v>1999.64</v>
      </c>
      <c r="J2329" s="10" t="s">
        <v>1012</v>
      </c>
      <c r="K2329" s="10"/>
      <c r="L2329" s="10"/>
    </row>
    <row r="2330" customFormat="false" ht="12.8" hidden="false" customHeight="false" outlineLevel="0" collapsed="false">
      <c r="G2330" s="25" t="n">
        <v>44653</v>
      </c>
      <c r="H2330" s="43" t="s">
        <v>23</v>
      </c>
      <c r="I2330" s="5" t="n">
        <v>-69.07</v>
      </c>
      <c r="J2330" s="10" t="s">
        <v>37</v>
      </c>
      <c r="K2330" s="10"/>
      <c r="L2330" s="10"/>
    </row>
    <row r="2331" customFormat="false" ht="12.8" hidden="false" customHeight="false" outlineLevel="0" collapsed="false">
      <c r="G2331" s="25" t="n">
        <v>44654</v>
      </c>
      <c r="H2331" s="43" t="s">
        <v>23</v>
      </c>
      <c r="I2331" s="5" t="n">
        <v>-83.29</v>
      </c>
      <c r="J2331" s="10" t="s">
        <v>37</v>
      </c>
      <c r="K2331" s="10"/>
      <c r="L2331" s="10"/>
    </row>
    <row r="2332" customFormat="false" ht="12.8" hidden="false" customHeight="false" outlineLevel="0" collapsed="false">
      <c r="G2332" s="25" t="n">
        <v>44654</v>
      </c>
      <c r="H2332" s="38" t="s">
        <v>21</v>
      </c>
      <c r="I2332" s="5" t="n">
        <v>-15</v>
      </c>
      <c r="J2332" s="10" t="s">
        <v>82</v>
      </c>
      <c r="K2332" s="10"/>
      <c r="L2332" s="10"/>
    </row>
    <row r="2333" customFormat="false" ht="12.8" hidden="false" customHeight="false" outlineLevel="0" collapsed="false">
      <c r="G2333" s="25" t="n">
        <v>44654</v>
      </c>
      <c r="H2333" s="48" t="s">
        <v>26</v>
      </c>
      <c r="I2333" s="5" t="n">
        <v>-31.79</v>
      </c>
      <c r="J2333" s="10" t="s">
        <v>841</v>
      </c>
      <c r="K2333" s="10"/>
      <c r="L2333" s="10"/>
    </row>
    <row r="2334" customFormat="false" ht="12.8" hidden="false" customHeight="false" outlineLevel="0" collapsed="false">
      <c r="G2334" s="25" t="n">
        <v>44654</v>
      </c>
      <c r="H2334" s="48" t="s">
        <v>26</v>
      </c>
      <c r="I2334" s="5" t="n">
        <v>-8.75</v>
      </c>
      <c r="J2334" s="10" t="s">
        <v>1024</v>
      </c>
      <c r="K2334" s="10"/>
      <c r="L2334" s="10"/>
    </row>
    <row r="2335" customFormat="false" ht="12.8" hidden="false" customHeight="false" outlineLevel="0" collapsed="false">
      <c r="G2335" s="25" t="n">
        <v>44655</v>
      </c>
      <c r="H2335" s="48" t="s">
        <v>26</v>
      </c>
      <c r="I2335" s="5" t="n">
        <v>3130.97</v>
      </c>
      <c r="J2335" s="55" t="s">
        <v>1025</v>
      </c>
      <c r="K2335" s="55"/>
      <c r="L2335" s="55"/>
    </row>
    <row r="2336" customFormat="false" ht="12.8" hidden="false" customHeight="false" outlineLevel="0" collapsed="false">
      <c r="G2336" s="25" t="n">
        <v>44655</v>
      </c>
      <c r="H2336" s="48" t="s">
        <v>26</v>
      </c>
      <c r="I2336" s="5" t="n">
        <v>-3165</v>
      </c>
      <c r="J2336" s="10" t="s">
        <v>1012</v>
      </c>
      <c r="K2336" s="55"/>
      <c r="L2336" s="54"/>
    </row>
    <row r="2337" customFormat="false" ht="12.8" hidden="false" customHeight="false" outlineLevel="0" collapsed="false">
      <c r="G2337" s="25" t="n">
        <v>44655</v>
      </c>
      <c r="H2337" s="52" t="s">
        <v>14</v>
      </c>
      <c r="I2337" s="5" t="n">
        <v>3165</v>
      </c>
      <c r="J2337" s="10" t="s">
        <v>1012</v>
      </c>
      <c r="K2337" s="55"/>
      <c r="L2337" s="54"/>
    </row>
    <row r="2338" customFormat="false" ht="12.8" hidden="false" customHeight="false" outlineLevel="0" collapsed="false">
      <c r="G2338" s="25" t="n">
        <v>44655</v>
      </c>
      <c r="H2338" s="52" t="s">
        <v>14</v>
      </c>
      <c r="I2338" s="5" t="n">
        <v>1.08</v>
      </c>
      <c r="J2338" s="10" t="s">
        <v>40</v>
      </c>
      <c r="K2338" s="55"/>
      <c r="L2338" s="54"/>
    </row>
    <row r="2339" customFormat="false" ht="12.8" hidden="false" customHeight="false" outlineLevel="0" collapsed="false">
      <c r="G2339" s="25" t="n">
        <v>44655</v>
      </c>
      <c r="H2339" s="26" t="s">
        <v>10</v>
      </c>
      <c r="I2339" s="5" t="n">
        <v>-66</v>
      </c>
      <c r="J2339" s="54" t="s">
        <v>38</v>
      </c>
      <c r="K2339" s="55"/>
      <c r="L2339" s="54"/>
    </row>
    <row r="2340" customFormat="false" ht="12.8" hidden="false" customHeight="false" outlineLevel="0" collapsed="false">
      <c r="G2340" s="25" t="n">
        <v>44655</v>
      </c>
      <c r="H2340" s="32" t="s">
        <v>15</v>
      </c>
      <c r="I2340" s="5" t="n">
        <v>66</v>
      </c>
      <c r="J2340" s="54" t="s">
        <v>38</v>
      </c>
      <c r="K2340" s="55"/>
      <c r="L2340" s="54"/>
    </row>
    <row r="2341" customFormat="false" ht="12.8" hidden="false" customHeight="false" outlineLevel="0" collapsed="false">
      <c r="G2341" s="25" t="n">
        <v>44655</v>
      </c>
      <c r="H2341" s="32" t="s">
        <v>15</v>
      </c>
      <c r="I2341" s="5" t="n">
        <v>-74.7</v>
      </c>
      <c r="J2341" s="54" t="s">
        <v>37</v>
      </c>
      <c r="K2341" s="55"/>
      <c r="L2341" s="54"/>
    </row>
    <row r="2342" customFormat="false" ht="12.8" hidden="false" customHeight="false" outlineLevel="0" collapsed="false">
      <c r="G2342" s="25" t="n">
        <v>44655</v>
      </c>
      <c r="H2342" s="48" t="s">
        <v>26</v>
      </c>
      <c r="I2342" s="5" t="n">
        <v>-23.4</v>
      </c>
      <c r="J2342" s="10" t="s">
        <v>37</v>
      </c>
      <c r="K2342" s="55"/>
      <c r="L2342" s="55"/>
    </row>
    <row r="2343" customFormat="false" ht="12.8" hidden="false" customHeight="false" outlineLevel="0" collapsed="false">
      <c r="G2343" s="25" t="n">
        <v>44656</v>
      </c>
      <c r="H2343" s="26" t="s">
        <v>10</v>
      </c>
      <c r="I2343" s="5" t="n">
        <v>-75</v>
      </c>
      <c r="J2343" s="54" t="s">
        <v>38</v>
      </c>
      <c r="K2343" s="55"/>
      <c r="L2343" s="55"/>
    </row>
    <row r="2344" customFormat="false" ht="12.8" hidden="false" customHeight="false" outlineLevel="0" collapsed="false">
      <c r="G2344" s="25" t="n">
        <v>44656</v>
      </c>
      <c r="H2344" s="32" t="s">
        <v>15</v>
      </c>
      <c r="I2344" s="5" t="n">
        <v>75</v>
      </c>
      <c r="J2344" s="54" t="s">
        <v>38</v>
      </c>
      <c r="K2344" s="55"/>
      <c r="L2344" s="55"/>
    </row>
    <row r="2345" customFormat="false" ht="12.8" hidden="false" customHeight="false" outlineLevel="0" collapsed="false">
      <c r="G2345" s="25" t="n">
        <v>44656</v>
      </c>
      <c r="H2345" s="32" t="s">
        <v>15</v>
      </c>
      <c r="I2345" s="5" t="n">
        <v>-75.16</v>
      </c>
      <c r="J2345" s="54" t="s">
        <v>37</v>
      </c>
      <c r="K2345" s="55"/>
      <c r="L2345" s="55"/>
    </row>
    <row r="2346" customFormat="false" ht="12.8" hidden="false" customHeight="false" outlineLevel="0" collapsed="false">
      <c r="G2346" s="25" t="n">
        <v>44657</v>
      </c>
      <c r="H2346" s="26" t="s">
        <v>10</v>
      </c>
      <c r="I2346" s="5" t="n">
        <v>-75</v>
      </c>
      <c r="J2346" s="54" t="s">
        <v>38</v>
      </c>
      <c r="K2346" s="55"/>
      <c r="L2346" s="55"/>
    </row>
    <row r="2347" customFormat="false" ht="12.8" hidden="false" customHeight="false" outlineLevel="0" collapsed="false">
      <c r="G2347" s="25" t="n">
        <v>44657</v>
      </c>
      <c r="H2347" s="32" t="s">
        <v>15</v>
      </c>
      <c r="I2347" s="5" t="n">
        <v>75</v>
      </c>
      <c r="J2347" s="54" t="s">
        <v>38</v>
      </c>
      <c r="K2347" s="55"/>
      <c r="L2347" s="55"/>
    </row>
    <row r="2348" customFormat="false" ht="12.8" hidden="false" customHeight="false" outlineLevel="0" collapsed="false">
      <c r="G2348" s="25" t="n">
        <v>44657</v>
      </c>
      <c r="H2348" s="32" t="s">
        <v>15</v>
      </c>
      <c r="I2348" s="5" t="n">
        <v>-72.23</v>
      </c>
      <c r="J2348" s="54" t="s">
        <v>37</v>
      </c>
      <c r="K2348" s="55"/>
      <c r="L2348" s="55"/>
    </row>
    <row r="2349" customFormat="false" ht="12.8" hidden="false" customHeight="false" outlineLevel="0" collapsed="false">
      <c r="G2349" s="25" t="n">
        <v>44658</v>
      </c>
      <c r="H2349" s="26" t="s">
        <v>10</v>
      </c>
      <c r="I2349" s="5" t="n">
        <v>-72</v>
      </c>
      <c r="J2349" s="54" t="s">
        <v>38</v>
      </c>
      <c r="K2349" s="55"/>
      <c r="L2349" s="55"/>
    </row>
    <row r="2350" customFormat="false" ht="12.8" hidden="false" customHeight="false" outlineLevel="0" collapsed="false">
      <c r="G2350" s="25" t="n">
        <v>44658</v>
      </c>
      <c r="H2350" s="32" t="s">
        <v>15</v>
      </c>
      <c r="I2350" s="5" t="n">
        <v>72</v>
      </c>
      <c r="J2350" s="54" t="s">
        <v>38</v>
      </c>
      <c r="K2350" s="55"/>
      <c r="L2350" s="55"/>
    </row>
    <row r="2351" customFormat="false" ht="12.8" hidden="false" customHeight="false" outlineLevel="0" collapsed="false">
      <c r="G2351" s="25" t="n">
        <v>44658</v>
      </c>
      <c r="H2351" s="32" t="s">
        <v>15</v>
      </c>
      <c r="I2351" s="5" t="n">
        <v>-56.17</v>
      </c>
      <c r="J2351" s="54" t="s">
        <v>37</v>
      </c>
      <c r="K2351" s="55"/>
      <c r="L2351" s="55"/>
    </row>
    <row r="2352" customFormat="false" ht="12.8" hidden="false" customHeight="false" outlineLevel="0" collapsed="false">
      <c r="G2352" s="25" t="n">
        <v>44658</v>
      </c>
      <c r="H2352" s="52" t="s">
        <v>14</v>
      </c>
      <c r="I2352" s="5" t="n">
        <v>-64</v>
      </c>
      <c r="J2352" s="54" t="s">
        <v>66</v>
      </c>
      <c r="K2352" s="55"/>
      <c r="L2352" s="55"/>
    </row>
    <row r="2353" customFormat="false" ht="12.8" hidden="false" customHeight="false" outlineLevel="0" collapsed="false">
      <c r="G2353" s="25" t="n">
        <v>44658</v>
      </c>
      <c r="H2353" s="48" t="s">
        <v>26</v>
      </c>
      <c r="I2353" s="5" t="n">
        <v>64</v>
      </c>
      <c r="J2353" s="10" t="s">
        <v>66</v>
      </c>
      <c r="K2353" s="55"/>
      <c r="L2353" s="55"/>
    </row>
    <row r="2354" customFormat="false" ht="12.8" hidden="false" customHeight="false" outlineLevel="0" collapsed="false">
      <c r="G2354" s="25" t="n">
        <v>44658</v>
      </c>
      <c r="H2354" s="48" t="s">
        <v>26</v>
      </c>
      <c r="I2354" s="5" t="n">
        <v>-30</v>
      </c>
      <c r="J2354" s="10" t="s">
        <v>1026</v>
      </c>
      <c r="K2354" s="55"/>
      <c r="L2354" s="55"/>
    </row>
    <row r="2355" customFormat="false" ht="12.8" hidden="false" customHeight="false" outlineLevel="0" collapsed="false">
      <c r="G2355" s="25" t="n">
        <v>44659</v>
      </c>
      <c r="H2355" s="26" t="s">
        <v>10</v>
      </c>
      <c r="I2355" s="5" t="n">
        <v>-56</v>
      </c>
      <c r="J2355" s="54" t="s">
        <v>38</v>
      </c>
      <c r="K2355" s="55"/>
      <c r="L2355" s="55"/>
    </row>
    <row r="2356" customFormat="false" ht="12.8" hidden="false" customHeight="false" outlineLevel="0" collapsed="false">
      <c r="G2356" s="25" t="n">
        <v>44659</v>
      </c>
      <c r="H2356" s="32" t="s">
        <v>15</v>
      </c>
      <c r="I2356" s="5" t="n">
        <v>56</v>
      </c>
      <c r="J2356" s="54" t="s">
        <v>38</v>
      </c>
      <c r="K2356" s="55"/>
      <c r="L2356" s="55"/>
    </row>
    <row r="2357" customFormat="false" ht="12.8" hidden="false" customHeight="false" outlineLevel="0" collapsed="false">
      <c r="G2357" s="25" t="n">
        <v>44659</v>
      </c>
      <c r="H2357" s="32" t="s">
        <v>15</v>
      </c>
      <c r="I2357" s="5" t="n">
        <v>-56.66</v>
      </c>
      <c r="J2357" s="54" t="s">
        <v>37</v>
      </c>
      <c r="K2357" s="55"/>
      <c r="L2357" s="55"/>
    </row>
    <row r="2358" customFormat="false" ht="12.8" hidden="false" customHeight="false" outlineLevel="0" collapsed="false">
      <c r="G2358" s="25" t="n">
        <v>44660</v>
      </c>
      <c r="H2358" s="26" t="s">
        <v>10</v>
      </c>
      <c r="I2358" s="5" t="n">
        <v>-57</v>
      </c>
      <c r="J2358" s="54" t="s">
        <v>38</v>
      </c>
      <c r="K2358" s="55"/>
      <c r="L2358" s="55"/>
    </row>
    <row r="2359" customFormat="false" ht="12.8" hidden="false" customHeight="false" outlineLevel="0" collapsed="false">
      <c r="G2359" s="25" t="n">
        <v>44660</v>
      </c>
      <c r="H2359" s="32" t="s">
        <v>15</v>
      </c>
      <c r="I2359" s="5" t="n">
        <v>57</v>
      </c>
      <c r="J2359" s="54" t="s">
        <v>38</v>
      </c>
      <c r="K2359" s="55"/>
      <c r="L2359" s="55"/>
    </row>
    <row r="2360" customFormat="false" ht="12.8" hidden="false" customHeight="false" outlineLevel="0" collapsed="false">
      <c r="G2360" s="25" t="n">
        <v>44660</v>
      </c>
      <c r="H2360" s="32" t="s">
        <v>15</v>
      </c>
      <c r="I2360" s="5" t="n">
        <v>-72.19</v>
      </c>
      <c r="J2360" s="54" t="s">
        <v>37</v>
      </c>
      <c r="K2360" s="55"/>
      <c r="L2360" s="55"/>
    </row>
    <row r="2361" customFormat="false" ht="12.8" hidden="false" customHeight="false" outlineLevel="0" collapsed="false">
      <c r="G2361" s="25" t="n">
        <v>44661</v>
      </c>
      <c r="H2361" s="26" t="s">
        <v>10</v>
      </c>
      <c r="I2361" s="5" t="n">
        <v>-72</v>
      </c>
      <c r="J2361" s="54" t="s">
        <v>38</v>
      </c>
      <c r="K2361" s="55"/>
      <c r="L2361" s="55"/>
    </row>
    <row r="2362" customFormat="false" ht="12.8" hidden="false" customHeight="false" outlineLevel="0" collapsed="false">
      <c r="G2362" s="25" t="n">
        <v>44661</v>
      </c>
      <c r="H2362" s="32" t="s">
        <v>15</v>
      </c>
      <c r="I2362" s="5" t="n">
        <v>72</v>
      </c>
      <c r="J2362" s="54" t="s">
        <v>38</v>
      </c>
      <c r="K2362" s="55"/>
      <c r="L2362" s="55"/>
    </row>
    <row r="2363" customFormat="false" ht="12.8" hidden="false" customHeight="false" outlineLevel="0" collapsed="false">
      <c r="G2363" s="25" t="n">
        <v>44661</v>
      </c>
      <c r="H2363" s="32" t="s">
        <v>15</v>
      </c>
      <c r="I2363" s="5" t="n">
        <v>-74.61</v>
      </c>
      <c r="J2363" s="54" t="s">
        <v>37</v>
      </c>
      <c r="K2363" s="55"/>
      <c r="L2363" s="55"/>
    </row>
    <row r="2364" customFormat="false" ht="12.8" hidden="false" customHeight="false" outlineLevel="0" collapsed="false">
      <c r="G2364" s="25" t="n">
        <v>44661</v>
      </c>
      <c r="H2364" s="26" t="s">
        <v>10</v>
      </c>
      <c r="I2364" s="5" t="n">
        <v>-25</v>
      </c>
      <c r="J2364" s="54" t="s">
        <v>38</v>
      </c>
      <c r="K2364" s="55"/>
      <c r="L2364" s="55"/>
    </row>
    <row r="2365" customFormat="false" ht="12.8" hidden="false" customHeight="false" outlineLevel="0" collapsed="false">
      <c r="G2365" s="25" t="n">
        <v>44661</v>
      </c>
      <c r="H2365" s="32" t="s">
        <v>15</v>
      </c>
      <c r="I2365" s="5" t="n">
        <v>25</v>
      </c>
      <c r="J2365" s="54" t="s">
        <v>38</v>
      </c>
      <c r="K2365" s="55"/>
      <c r="L2365" s="55"/>
    </row>
    <row r="2366" customFormat="false" ht="12.8" hidden="false" customHeight="false" outlineLevel="0" collapsed="false">
      <c r="G2366" s="25" t="n">
        <v>44661</v>
      </c>
      <c r="H2366" s="32" t="s">
        <v>15</v>
      </c>
      <c r="I2366" s="5" t="n">
        <v>-13.98</v>
      </c>
      <c r="J2366" s="54" t="s">
        <v>37</v>
      </c>
      <c r="K2366" s="55"/>
      <c r="L2366" s="55"/>
    </row>
    <row r="2367" customFormat="false" ht="12.8" hidden="false" customHeight="false" outlineLevel="0" collapsed="false">
      <c r="G2367" s="25" t="n">
        <v>44661</v>
      </c>
      <c r="H2367" s="26" t="s">
        <v>10</v>
      </c>
      <c r="I2367" s="5" t="n">
        <v>-64</v>
      </c>
      <c r="J2367" s="54" t="s">
        <v>38</v>
      </c>
      <c r="K2367" s="55"/>
      <c r="L2367" s="55"/>
    </row>
    <row r="2368" customFormat="false" ht="12.8" hidden="false" customHeight="false" outlineLevel="0" collapsed="false">
      <c r="G2368" s="25" t="n">
        <v>44662</v>
      </c>
      <c r="H2368" s="32" t="s">
        <v>15</v>
      </c>
      <c r="I2368" s="5" t="n">
        <v>64</v>
      </c>
      <c r="J2368" s="54" t="s">
        <v>38</v>
      </c>
      <c r="K2368" s="55"/>
      <c r="L2368" s="55"/>
    </row>
    <row r="2369" customFormat="false" ht="12.8" hidden="false" customHeight="false" outlineLevel="0" collapsed="false">
      <c r="G2369" s="25" t="n">
        <v>44662</v>
      </c>
      <c r="H2369" s="32" t="s">
        <v>15</v>
      </c>
      <c r="I2369" s="5" t="n">
        <v>-60.17</v>
      </c>
      <c r="J2369" s="54" t="s">
        <v>37</v>
      </c>
      <c r="K2369" s="55"/>
      <c r="L2369" s="55"/>
    </row>
    <row r="2370" customFormat="false" ht="12.8" hidden="false" customHeight="false" outlineLevel="0" collapsed="false">
      <c r="G2370" s="25" t="n">
        <v>44663</v>
      </c>
      <c r="H2370" s="26" t="s">
        <v>10</v>
      </c>
      <c r="I2370" s="5" t="n">
        <v>-60</v>
      </c>
      <c r="J2370" s="54" t="s">
        <v>38</v>
      </c>
      <c r="K2370" s="55"/>
      <c r="L2370" s="55"/>
    </row>
    <row r="2371" customFormat="false" ht="12.8" hidden="false" customHeight="false" outlineLevel="0" collapsed="false">
      <c r="G2371" s="25" t="n">
        <v>44663</v>
      </c>
      <c r="H2371" s="32" t="s">
        <v>15</v>
      </c>
      <c r="I2371" s="5" t="n">
        <v>60</v>
      </c>
      <c r="J2371" s="54" t="s">
        <v>38</v>
      </c>
      <c r="K2371" s="55"/>
      <c r="L2371" s="55"/>
    </row>
    <row r="2372" customFormat="false" ht="12.8" hidden="false" customHeight="false" outlineLevel="0" collapsed="false">
      <c r="G2372" s="25" t="n">
        <v>44663</v>
      </c>
      <c r="H2372" s="32" t="s">
        <v>15</v>
      </c>
      <c r="I2372" s="5" t="n">
        <v>-69.07</v>
      </c>
      <c r="J2372" s="54" t="s">
        <v>37</v>
      </c>
      <c r="K2372" s="55"/>
      <c r="L2372" s="55"/>
    </row>
    <row r="2373" customFormat="false" ht="12.8" hidden="false" customHeight="false" outlineLevel="0" collapsed="false">
      <c r="G2373" s="25" t="n">
        <v>44664</v>
      </c>
      <c r="H2373" s="26" t="s">
        <v>10</v>
      </c>
      <c r="I2373" s="5" t="n">
        <v>-69</v>
      </c>
      <c r="J2373" s="54" t="s">
        <v>38</v>
      </c>
      <c r="K2373" s="55"/>
      <c r="L2373" s="55"/>
    </row>
    <row r="2374" customFormat="false" ht="12.8" hidden="false" customHeight="false" outlineLevel="0" collapsed="false">
      <c r="G2374" s="25" t="n">
        <v>44664</v>
      </c>
      <c r="H2374" s="32" t="s">
        <v>15</v>
      </c>
      <c r="I2374" s="5" t="n">
        <v>69</v>
      </c>
      <c r="J2374" s="54" t="s">
        <v>38</v>
      </c>
      <c r="K2374" s="55"/>
      <c r="L2374" s="55"/>
    </row>
    <row r="2375" customFormat="false" ht="12.8" hidden="false" customHeight="false" outlineLevel="0" collapsed="false">
      <c r="G2375" s="25" t="n">
        <v>44664</v>
      </c>
      <c r="H2375" s="52" t="s">
        <v>14</v>
      </c>
      <c r="I2375" s="5" t="n">
        <v>-20</v>
      </c>
      <c r="J2375" s="54" t="s">
        <v>66</v>
      </c>
      <c r="K2375" s="55"/>
      <c r="L2375" s="55"/>
    </row>
    <row r="2376" customFormat="false" ht="12.8" hidden="false" customHeight="false" outlineLevel="0" collapsed="false">
      <c r="G2376" s="25" t="n">
        <v>44664</v>
      </c>
      <c r="H2376" s="48" t="s">
        <v>26</v>
      </c>
      <c r="I2376" s="5" t="n">
        <v>20</v>
      </c>
      <c r="J2376" s="10" t="s">
        <v>66</v>
      </c>
      <c r="K2376" s="55"/>
      <c r="L2376" s="55"/>
    </row>
    <row r="2377" customFormat="false" ht="12.8" hidden="false" customHeight="false" outlineLevel="0" collapsed="false">
      <c r="G2377" s="25" t="n">
        <v>44664</v>
      </c>
      <c r="H2377" s="26" t="s">
        <v>10</v>
      </c>
      <c r="I2377" s="5" t="n">
        <v>-75</v>
      </c>
      <c r="J2377" s="54" t="s">
        <v>38</v>
      </c>
      <c r="K2377" s="55"/>
      <c r="L2377" s="55"/>
    </row>
    <row r="2378" customFormat="false" ht="12.8" hidden="false" customHeight="false" outlineLevel="0" collapsed="false">
      <c r="G2378" s="25" t="n">
        <v>44664</v>
      </c>
      <c r="H2378" s="32" t="s">
        <v>15</v>
      </c>
      <c r="I2378" s="5" t="n">
        <v>75</v>
      </c>
      <c r="J2378" s="54" t="s">
        <v>38</v>
      </c>
      <c r="K2378" s="55"/>
      <c r="L2378" s="55"/>
    </row>
    <row r="2379" customFormat="false" ht="12.8" hidden="false" customHeight="false" outlineLevel="0" collapsed="false">
      <c r="G2379" s="25" t="n">
        <v>44664</v>
      </c>
      <c r="H2379" s="32" t="s">
        <v>15</v>
      </c>
      <c r="I2379" s="5" t="n">
        <v>-70.11</v>
      </c>
      <c r="J2379" s="54" t="s">
        <v>37</v>
      </c>
      <c r="K2379" s="55"/>
      <c r="L2379" s="55"/>
    </row>
    <row r="2380" customFormat="false" ht="12.8" hidden="false" customHeight="false" outlineLevel="0" collapsed="false">
      <c r="G2380" s="25" t="n">
        <v>44664</v>
      </c>
      <c r="H2380" s="48" t="s">
        <v>26</v>
      </c>
      <c r="I2380" s="5" t="n">
        <v>-41.6</v>
      </c>
      <c r="J2380" s="10" t="s">
        <v>37</v>
      </c>
      <c r="K2380" s="55"/>
      <c r="L2380" s="55"/>
    </row>
    <row r="2381" customFormat="false" ht="12.8" hidden="false" customHeight="false" outlineLevel="0" collapsed="false">
      <c r="G2381" s="25" t="n">
        <v>44664</v>
      </c>
      <c r="H2381" s="32" t="s">
        <v>15</v>
      </c>
      <c r="I2381" s="5" t="n">
        <v>-69</v>
      </c>
      <c r="J2381" s="54" t="s">
        <v>37</v>
      </c>
      <c r="K2381" s="55"/>
      <c r="L2381" s="55"/>
    </row>
    <row r="2382" customFormat="false" ht="12.8" hidden="false" customHeight="false" outlineLevel="0" collapsed="false">
      <c r="G2382" s="25" t="n">
        <v>44664</v>
      </c>
      <c r="H2382" s="26" t="s">
        <v>10</v>
      </c>
      <c r="I2382" s="5" t="n">
        <v>69</v>
      </c>
      <c r="J2382" s="10" t="s">
        <v>1027</v>
      </c>
      <c r="K2382" s="55"/>
      <c r="L2382" s="55"/>
    </row>
    <row r="2383" customFormat="false" ht="12.8" hidden="false" customHeight="false" outlineLevel="0" collapsed="false">
      <c r="G2383" s="25" t="n">
        <v>44665</v>
      </c>
      <c r="H2383" s="26" t="s">
        <v>10</v>
      </c>
      <c r="I2383" s="5" t="n">
        <v>-64</v>
      </c>
      <c r="J2383" s="54" t="s">
        <v>38</v>
      </c>
      <c r="K2383" s="55"/>
      <c r="L2383" s="55"/>
    </row>
    <row r="2384" customFormat="false" ht="12.8" hidden="false" customHeight="false" outlineLevel="0" collapsed="false">
      <c r="G2384" s="25" t="n">
        <v>44665</v>
      </c>
      <c r="H2384" s="32" t="s">
        <v>15</v>
      </c>
      <c r="I2384" s="5" t="n">
        <v>64</v>
      </c>
      <c r="J2384" s="54" t="s">
        <v>38</v>
      </c>
      <c r="K2384" s="55"/>
      <c r="L2384" s="55"/>
    </row>
    <row r="2385" customFormat="false" ht="12.8" hidden="false" customHeight="false" outlineLevel="0" collapsed="false">
      <c r="G2385" s="25" t="n">
        <v>44665</v>
      </c>
      <c r="H2385" s="32" t="s">
        <v>15</v>
      </c>
      <c r="I2385" s="5" t="n">
        <v>-72.07</v>
      </c>
      <c r="J2385" s="54" t="s">
        <v>37</v>
      </c>
      <c r="K2385" s="54"/>
      <c r="L2385" s="55"/>
    </row>
    <row r="2386" customFormat="false" ht="12.8" hidden="false" customHeight="false" outlineLevel="0" collapsed="false">
      <c r="G2386" s="25" t="n">
        <v>44666</v>
      </c>
      <c r="H2386" s="43" t="s">
        <v>23</v>
      </c>
      <c r="I2386" s="5" t="n">
        <v>3048</v>
      </c>
      <c r="J2386" s="54" t="s">
        <v>912</v>
      </c>
      <c r="K2386" s="54"/>
      <c r="L2386" s="55"/>
    </row>
    <row r="2387" customFormat="false" ht="12.8" hidden="false" customHeight="false" outlineLevel="0" collapsed="false">
      <c r="G2387" s="25" t="n">
        <v>44666</v>
      </c>
      <c r="H2387" s="43" t="s">
        <v>23</v>
      </c>
      <c r="I2387" s="5" t="n">
        <v>-5</v>
      </c>
      <c r="J2387" s="10" t="s">
        <v>953</v>
      </c>
      <c r="K2387" s="54"/>
      <c r="L2387" s="54"/>
    </row>
    <row r="2388" customFormat="false" ht="12.8" hidden="false" customHeight="false" outlineLevel="0" collapsed="false">
      <c r="G2388" s="25" t="n">
        <v>44666</v>
      </c>
      <c r="H2388" s="43" t="s">
        <v>23</v>
      </c>
      <c r="I2388" s="5" t="n">
        <v>-15</v>
      </c>
      <c r="J2388" s="10" t="s">
        <v>992</v>
      </c>
      <c r="K2388" s="55"/>
      <c r="L2388" s="55"/>
    </row>
    <row r="2389" customFormat="false" ht="12.8" hidden="false" customHeight="false" outlineLevel="0" collapsed="false">
      <c r="G2389" s="25" t="n">
        <v>44666</v>
      </c>
      <c r="H2389" s="38" t="s">
        <v>21</v>
      </c>
      <c r="I2389" s="5" t="n">
        <v>15</v>
      </c>
      <c r="J2389" s="10" t="s">
        <v>992</v>
      </c>
      <c r="K2389" s="55"/>
      <c r="L2389" s="55"/>
    </row>
    <row r="2390" customFormat="false" ht="12.8" hidden="false" customHeight="false" outlineLevel="0" collapsed="false">
      <c r="G2390" s="25" t="n">
        <v>44666</v>
      </c>
      <c r="H2390" s="26" t="s">
        <v>10</v>
      </c>
      <c r="I2390" s="5" t="n">
        <v>-72</v>
      </c>
      <c r="J2390" s="54" t="s">
        <v>38</v>
      </c>
      <c r="K2390" s="54"/>
      <c r="L2390" s="55"/>
    </row>
    <row r="2391" customFormat="false" ht="12.8" hidden="false" customHeight="false" outlineLevel="0" collapsed="false">
      <c r="G2391" s="25" t="n">
        <v>44666</v>
      </c>
      <c r="H2391" s="32" t="s">
        <v>15</v>
      </c>
      <c r="I2391" s="5" t="n">
        <v>72</v>
      </c>
      <c r="J2391" s="54" t="s">
        <v>38</v>
      </c>
      <c r="K2391" s="54"/>
      <c r="L2391" s="55"/>
    </row>
    <row r="2392" customFormat="false" ht="12.8" hidden="false" customHeight="false" outlineLevel="0" collapsed="false">
      <c r="G2392" s="25" t="n">
        <v>44666</v>
      </c>
      <c r="H2392" s="32" t="s">
        <v>15</v>
      </c>
      <c r="I2392" s="5" t="n">
        <v>-73.66</v>
      </c>
      <c r="J2392" s="54" t="s">
        <v>37</v>
      </c>
      <c r="K2392" s="55"/>
      <c r="L2392" s="55"/>
    </row>
    <row r="2393" customFormat="false" ht="12.8" hidden="false" customHeight="false" outlineLevel="0" collapsed="false">
      <c r="G2393" s="25" t="n">
        <v>44666</v>
      </c>
      <c r="H2393" s="43" t="s">
        <v>23</v>
      </c>
      <c r="I2393" s="5" t="n">
        <v>-70.17</v>
      </c>
      <c r="J2393" s="10" t="s">
        <v>37</v>
      </c>
      <c r="K2393" s="55"/>
      <c r="L2393" s="55"/>
    </row>
    <row r="2394" customFormat="false" ht="12.8" hidden="false" customHeight="false" outlineLevel="0" collapsed="false">
      <c r="G2394" s="25" t="n">
        <v>44666</v>
      </c>
      <c r="H2394" s="43" t="s">
        <v>23</v>
      </c>
      <c r="I2394" s="5" t="n">
        <v>526</v>
      </c>
      <c r="J2394" s="10" t="s">
        <v>1028</v>
      </c>
      <c r="K2394" s="55"/>
      <c r="L2394" s="55"/>
    </row>
    <row r="2395" customFormat="false" ht="12.8" hidden="false" customHeight="false" outlineLevel="0" collapsed="false">
      <c r="G2395" s="25" t="n">
        <v>44667</v>
      </c>
      <c r="H2395" s="43" t="s">
        <v>23</v>
      </c>
      <c r="I2395" s="5" t="n">
        <v>-75.97</v>
      </c>
      <c r="J2395" s="10" t="s">
        <v>37</v>
      </c>
      <c r="K2395" s="55"/>
      <c r="L2395" s="54"/>
    </row>
    <row r="2396" customFormat="false" ht="12.8" hidden="false" customHeight="false" outlineLevel="0" collapsed="false">
      <c r="G2396" s="25" t="n">
        <v>44667</v>
      </c>
      <c r="H2396" s="43" t="s">
        <v>23</v>
      </c>
      <c r="I2396" s="5" t="n">
        <v>-22.26</v>
      </c>
      <c r="J2396" s="10" t="s">
        <v>37</v>
      </c>
      <c r="K2396" s="54"/>
      <c r="L2396" s="55"/>
    </row>
    <row r="2397" customFormat="false" ht="12.8" hidden="false" customHeight="false" outlineLevel="0" collapsed="false">
      <c r="G2397" s="25" t="n">
        <v>44668</v>
      </c>
      <c r="H2397" s="43" t="s">
        <v>23</v>
      </c>
      <c r="I2397" s="5" t="n">
        <v>-76.83</v>
      </c>
      <c r="J2397" s="10" t="s">
        <v>37</v>
      </c>
      <c r="K2397" s="55"/>
      <c r="L2397" s="55"/>
    </row>
    <row r="2398" customFormat="false" ht="12.8" hidden="false" customHeight="false" outlineLevel="0" collapsed="false">
      <c r="G2398" s="25" t="n">
        <v>44668</v>
      </c>
      <c r="H2398" s="43" t="s">
        <v>23</v>
      </c>
      <c r="I2398" s="5" t="n">
        <v>-158.46</v>
      </c>
      <c r="J2398" s="10" t="s">
        <v>991</v>
      </c>
      <c r="K2398" s="55"/>
      <c r="L2398" s="55"/>
    </row>
    <row r="2399" customFormat="false" ht="12.8" hidden="false" customHeight="false" outlineLevel="0" collapsed="false">
      <c r="G2399" s="25" t="n">
        <v>44668</v>
      </c>
      <c r="H2399" s="43" t="s">
        <v>23</v>
      </c>
      <c r="I2399" s="5" t="n">
        <v>-107.02</v>
      </c>
      <c r="J2399" s="10" t="s">
        <v>47</v>
      </c>
      <c r="K2399" s="55"/>
      <c r="L2399" s="55"/>
    </row>
    <row r="2400" customFormat="false" ht="12.8" hidden="false" customHeight="false" outlineLevel="0" collapsed="false">
      <c r="G2400" s="25" t="n">
        <v>44668</v>
      </c>
      <c r="H2400" s="43" t="s">
        <v>23</v>
      </c>
      <c r="I2400" s="5" t="n">
        <v>-65.52</v>
      </c>
      <c r="J2400" s="10" t="s">
        <v>48</v>
      </c>
      <c r="K2400" s="55"/>
      <c r="L2400" s="55"/>
    </row>
    <row r="2401" customFormat="false" ht="12.8" hidden="false" customHeight="false" outlineLevel="0" collapsed="false">
      <c r="G2401" s="25" t="n">
        <v>44668</v>
      </c>
      <c r="H2401" s="43" t="s">
        <v>23</v>
      </c>
      <c r="I2401" s="5" t="n">
        <v>-132.9</v>
      </c>
      <c r="J2401" s="10" t="s">
        <v>1017</v>
      </c>
      <c r="K2401" s="55"/>
      <c r="L2401" s="55"/>
    </row>
    <row r="2402" customFormat="false" ht="12.8" hidden="false" customHeight="false" outlineLevel="0" collapsed="false">
      <c r="G2402" s="25" t="n">
        <v>44668</v>
      </c>
      <c r="H2402" s="26" t="s">
        <v>10</v>
      </c>
      <c r="I2402" s="5" t="n">
        <v>-399</v>
      </c>
      <c r="J2402" s="10" t="s">
        <v>38</v>
      </c>
      <c r="K2402" s="55"/>
      <c r="L2402" s="55"/>
    </row>
    <row r="2403" customFormat="false" ht="12.8" hidden="false" customHeight="false" outlineLevel="0" collapsed="false">
      <c r="G2403" s="25" t="n">
        <v>44668</v>
      </c>
      <c r="H2403" s="32" t="s">
        <v>15</v>
      </c>
      <c r="I2403" s="5" t="n">
        <v>399</v>
      </c>
      <c r="J2403" s="10" t="s">
        <v>1029</v>
      </c>
      <c r="K2403" s="55"/>
      <c r="L2403" s="55"/>
    </row>
    <row r="2404" customFormat="false" ht="12.8" hidden="false" customHeight="false" outlineLevel="0" collapsed="false">
      <c r="G2404" s="25" t="n">
        <v>44668</v>
      </c>
      <c r="H2404" s="32" t="s">
        <v>15</v>
      </c>
      <c r="I2404" s="5" t="n">
        <v>-400</v>
      </c>
      <c r="J2404" s="10" t="s">
        <v>104</v>
      </c>
      <c r="K2404" s="55"/>
      <c r="L2404" s="55"/>
    </row>
    <row r="2405" customFormat="false" ht="12.8" hidden="false" customHeight="false" outlineLevel="0" collapsed="false">
      <c r="G2405" s="25" t="n">
        <v>44668</v>
      </c>
      <c r="H2405" s="48" t="s">
        <v>26</v>
      </c>
      <c r="I2405" s="5" t="n">
        <v>400</v>
      </c>
      <c r="J2405" s="10" t="s">
        <v>104</v>
      </c>
      <c r="K2405" s="55"/>
      <c r="L2405" s="55"/>
    </row>
    <row r="2406" customFormat="false" ht="12.8" hidden="false" customHeight="false" outlineLevel="0" collapsed="false">
      <c r="G2406" s="25" t="n">
        <v>44669</v>
      </c>
      <c r="H2406" s="43" t="s">
        <v>23</v>
      </c>
      <c r="I2406" s="5" t="n">
        <v>-81.57</v>
      </c>
      <c r="J2406" s="10" t="s">
        <v>37</v>
      </c>
      <c r="K2406" s="55"/>
      <c r="L2406" s="55"/>
    </row>
    <row r="2407" customFormat="false" ht="12.8" hidden="false" customHeight="false" outlineLevel="0" collapsed="false">
      <c r="G2407" s="25" t="n">
        <v>44669</v>
      </c>
      <c r="H2407" s="48" t="s">
        <v>26</v>
      </c>
      <c r="I2407" s="5" t="n">
        <v>-354</v>
      </c>
      <c r="J2407" s="10" t="s">
        <v>104</v>
      </c>
      <c r="K2407" s="55"/>
      <c r="L2407" s="55"/>
    </row>
    <row r="2408" customFormat="false" ht="12.8" hidden="false" customHeight="false" outlineLevel="0" collapsed="false">
      <c r="G2408" s="25" t="n">
        <v>44669</v>
      </c>
      <c r="H2408" s="52" t="s">
        <v>14</v>
      </c>
      <c r="I2408" s="5" t="n">
        <v>354</v>
      </c>
      <c r="J2408" s="10" t="s">
        <v>104</v>
      </c>
      <c r="K2408" s="55"/>
      <c r="L2408" s="55"/>
    </row>
    <row r="2409" customFormat="false" ht="12.8" hidden="false" customHeight="false" outlineLevel="0" collapsed="false">
      <c r="G2409" s="25" t="n">
        <v>44669</v>
      </c>
      <c r="H2409" s="52" t="s">
        <v>14</v>
      </c>
      <c r="I2409" s="5" t="n">
        <v>1.96</v>
      </c>
      <c r="J2409" s="10" t="s">
        <v>40</v>
      </c>
      <c r="K2409" s="55"/>
      <c r="L2409" s="55"/>
    </row>
    <row r="2410" customFormat="false" ht="12.8" hidden="false" customHeight="false" outlineLevel="0" collapsed="false">
      <c r="G2410" s="25" t="n">
        <v>44670</v>
      </c>
      <c r="H2410" s="43" t="s">
        <v>23</v>
      </c>
      <c r="I2410" s="5" t="n">
        <v>-84.39</v>
      </c>
      <c r="J2410" s="10" t="s">
        <v>37</v>
      </c>
      <c r="K2410" s="55"/>
      <c r="L2410" s="55"/>
    </row>
    <row r="2411" customFormat="false" ht="12.8" hidden="false" customHeight="false" outlineLevel="0" collapsed="false">
      <c r="G2411" s="25" t="n">
        <v>44671</v>
      </c>
      <c r="H2411" s="43" t="s">
        <v>23</v>
      </c>
      <c r="I2411" s="5" t="n">
        <v>-71.34</v>
      </c>
      <c r="J2411" s="10" t="s">
        <v>37</v>
      </c>
      <c r="K2411" s="55"/>
      <c r="L2411" s="55"/>
    </row>
    <row r="2412" customFormat="false" ht="12.8" hidden="false" customHeight="false" outlineLevel="0" collapsed="false">
      <c r="G2412" s="25" t="n">
        <v>44671</v>
      </c>
      <c r="H2412" s="43" t="s">
        <v>23</v>
      </c>
      <c r="I2412" s="5" t="n">
        <v>-414.62</v>
      </c>
      <c r="J2412" s="10" t="s">
        <v>843</v>
      </c>
      <c r="K2412" s="55"/>
      <c r="L2412" s="55"/>
    </row>
    <row r="2413" customFormat="false" ht="12.8" hidden="false" customHeight="false" outlineLevel="0" collapsed="false">
      <c r="G2413" s="25" t="n">
        <v>44672</v>
      </c>
      <c r="H2413" s="43" t="s">
        <v>23</v>
      </c>
      <c r="I2413" s="5" t="n">
        <v>-40</v>
      </c>
      <c r="J2413" s="10" t="s">
        <v>44</v>
      </c>
      <c r="K2413" s="55"/>
      <c r="L2413" s="55"/>
    </row>
    <row r="2414" customFormat="false" ht="12.8" hidden="false" customHeight="false" outlineLevel="0" collapsed="false">
      <c r="G2414" s="25" t="n">
        <v>44672</v>
      </c>
      <c r="H2414" s="43" t="s">
        <v>23</v>
      </c>
      <c r="I2414" s="5" t="n">
        <v>-85.2</v>
      </c>
      <c r="J2414" s="10" t="s">
        <v>53</v>
      </c>
      <c r="K2414" s="55"/>
      <c r="L2414" s="55"/>
    </row>
    <row r="2415" customFormat="false" ht="12.8" hidden="false" customHeight="false" outlineLevel="0" collapsed="false">
      <c r="G2415" s="25" t="n">
        <v>44672</v>
      </c>
      <c r="H2415" s="43" t="s">
        <v>23</v>
      </c>
      <c r="I2415" s="5" t="n">
        <v>-76.13</v>
      </c>
      <c r="J2415" s="10" t="s">
        <v>37</v>
      </c>
      <c r="K2415" s="55"/>
      <c r="L2415" s="55"/>
    </row>
    <row r="2416" customFormat="false" ht="12.8" hidden="false" customHeight="false" outlineLevel="0" collapsed="false">
      <c r="G2416" s="25" t="n">
        <v>44673</v>
      </c>
      <c r="H2416" s="43" t="s">
        <v>23</v>
      </c>
      <c r="I2416" s="5" t="n">
        <v>-96.33</v>
      </c>
      <c r="J2416" s="10" t="s">
        <v>37</v>
      </c>
      <c r="K2416" s="55"/>
      <c r="L2416" s="55"/>
    </row>
    <row r="2417" customFormat="false" ht="12.8" hidden="false" customHeight="false" outlineLevel="0" collapsed="false">
      <c r="G2417" s="25" t="n">
        <v>44673</v>
      </c>
      <c r="H2417" s="43" t="s">
        <v>23</v>
      </c>
      <c r="I2417" s="5" t="n">
        <v>-49.99</v>
      </c>
      <c r="J2417" s="10" t="s">
        <v>952</v>
      </c>
      <c r="K2417" s="55"/>
      <c r="L2417" s="55"/>
    </row>
    <row r="2418" customFormat="false" ht="12.8" hidden="false" customHeight="false" outlineLevel="0" collapsed="false">
      <c r="G2418" s="25" t="n">
        <v>44674</v>
      </c>
      <c r="H2418" s="43" t="s">
        <v>23</v>
      </c>
      <c r="I2418" s="5" t="n">
        <v>-99.09</v>
      </c>
      <c r="J2418" s="10" t="s">
        <v>37</v>
      </c>
      <c r="K2418" s="55"/>
      <c r="L2418" s="55"/>
    </row>
    <row r="2419" customFormat="false" ht="12.8" hidden="false" customHeight="false" outlineLevel="0" collapsed="false">
      <c r="G2419" s="25" t="n">
        <v>44674</v>
      </c>
      <c r="H2419" s="43" t="s">
        <v>23</v>
      </c>
      <c r="I2419" s="5" t="n">
        <v>-22.26</v>
      </c>
      <c r="J2419" s="10" t="s">
        <v>37</v>
      </c>
      <c r="K2419" s="55"/>
      <c r="L2419" s="55"/>
    </row>
    <row r="2420" customFormat="false" ht="12.8" hidden="false" customHeight="false" outlineLevel="0" collapsed="false">
      <c r="G2420" s="25" t="n">
        <v>44675</v>
      </c>
      <c r="H2420" s="26" t="s">
        <v>10</v>
      </c>
      <c r="I2420" s="5" t="n">
        <v>-150</v>
      </c>
      <c r="J2420" s="54" t="s">
        <v>898</v>
      </c>
      <c r="K2420" s="55"/>
      <c r="L2420" s="55"/>
    </row>
    <row r="2421" customFormat="false" ht="12.8" hidden="false" customHeight="false" outlineLevel="0" collapsed="false">
      <c r="G2421" s="25" t="n">
        <v>44675</v>
      </c>
      <c r="H2421" s="32" t="s">
        <v>15</v>
      </c>
      <c r="I2421" s="5" t="n">
        <v>150</v>
      </c>
      <c r="J2421" s="54" t="s">
        <v>898</v>
      </c>
      <c r="K2421" s="55"/>
      <c r="L2421" s="55"/>
    </row>
    <row r="2422" customFormat="false" ht="12.8" hidden="false" customHeight="false" outlineLevel="0" collapsed="false">
      <c r="G2422" s="25" t="n">
        <v>44675</v>
      </c>
      <c r="H2422" s="43" t="s">
        <v>23</v>
      </c>
      <c r="I2422" s="5" t="n">
        <v>-64.5</v>
      </c>
      <c r="J2422" s="10" t="s">
        <v>37</v>
      </c>
      <c r="K2422" s="55"/>
      <c r="L2422" s="55"/>
    </row>
    <row r="2423" customFormat="false" ht="12.8" hidden="false" customHeight="false" outlineLevel="0" collapsed="false">
      <c r="G2423" s="25" t="n">
        <v>44676</v>
      </c>
      <c r="H2423" s="32" t="s">
        <v>15</v>
      </c>
      <c r="I2423" s="5" t="n">
        <v>-150</v>
      </c>
      <c r="J2423" s="54" t="s">
        <v>1030</v>
      </c>
      <c r="K2423" s="55"/>
      <c r="L2423" s="55"/>
    </row>
    <row r="2424" customFormat="false" ht="12.8" hidden="false" customHeight="false" outlineLevel="0" collapsed="false">
      <c r="G2424" s="25" t="n">
        <v>44676</v>
      </c>
      <c r="H2424" s="43" t="s">
        <v>23</v>
      </c>
      <c r="I2424" s="5" t="n">
        <v>-59.46</v>
      </c>
      <c r="J2424" s="10" t="s">
        <v>37</v>
      </c>
      <c r="K2424" s="55"/>
      <c r="L2424" s="55"/>
    </row>
    <row r="2425" customFormat="false" ht="12.8" hidden="false" customHeight="false" outlineLevel="0" collapsed="false">
      <c r="G2425" s="25" t="n">
        <v>44677</v>
      </c>
      <c r="H2425" s="43" t="s">
        <v>23</v>
      </c>
      <c r="I2425" s="5" t="n">
        <v>-62.77</v>
      </c>
      <c r="J2425" s="10" t="s">
        <v>37</v>
      </c>
      <c r="K2425" s="55"/>
      <c r="L2425" s="55"/>
    </row>
    <row r="2426" customFormat="false" ht="12.8" hidden="false" customHeight="false" outlineLevel="0" collapsed="false">
      <c r="G2426" s="25" t="n">
        <v>44677</v>
      </c>
      <c r="H2426" s="26" t="s">
        <v>10</v>
      </c>
      <c r="I2426" s="5" t="n">
        <v>-500</v>
      </c>
      <c r="J2426" s="54" t="s">
        <v>38</v>
      </c>
      <c r="K2426" s="55"/>
      <c r="L2426" s="55"/>
    </row>
    <row r="2427" customFormat="false" ht="12.8" hidden="false" customHeight="false" outlineLevel="0" collapsed="false">
      <c r="G2427" s="25" t="n">
        <v>44677</v>
      </c>
      <c r="H2427" s="32" t="s">
        <v>15</v>
      </c>
      <c r="I2427" s="5" t="n">
        <v>500</v>
      </c>
      <c r="J2427" s="54" t="s">
        <v>38</v>
      </c>
      <c r="K2427" s="55"/>
      <c r="L2427" s="55"/>
    </row>
    <row r="2428" customFormat="false" ht="12.8" hidden="false" customHeight="false" outlineLevel="0" collapsed="false">
      <c r="G2428" s="25" t="n">
        <v>44677</v>
      </c>
      <c r="H2428" s="32" t="s">
        <v>15</v>
      </c>
      <c r="I2428" s="5" t="n">
        <v>-500</v>
      </c>
      <c r="J2428" s="54" t="s">
        <v>38</v>
      </c>
      <c r="K2428" s="55"/>
      <c r="L2428" s="55"/>
    </row>
    <row r="2429" customFormat="false" ht="12.8" hidden="false" customHeight="false" outlineLevel="0" collapsed="false">
      <c r="G2429" s="25" t="n">
        <v>44677</v>
      </c>
      <c r="H2429" s="48" t="s">
        <v>26</v>
      </c>
      <c r="I2429" s="5" t="n">
        <v>500</v>
      </c>
      <c r="J2429" s="54" t="s">
        <v>38</v>
      </c>
      <c r="K2429" s="55"/>
      <c r="L2429" s="55"/>
    </row>
    <row r="2430" customFormat="false" ht="12.8" hidden="false" customHeight="false" outlineLevel="0" collapsed="false">
      <c r="G2430" s="25" t="n">
        <v>44677</v>
      </c>
      <c r="H2430" s="48" t="s">
        <v>26</v>
      </c>
      <c r="I2430" s="5" t="n">
        <v>-500</v>
      </c>
      <c r="J2430" s="10" t="s">
        <v>959</v>
      </c>
      <c r="K2430" s="54"/>
      <c r="L2430" s="55"/>
    </row>
    <row r="2431" customFormat="false" ht="12.8" hidden="false" customHeight="false" outlineLevel="0" collapsed="false">
      <c r="G2431" s="25" t="n">
        <v>44677</v>
      </c>
      <c r="H2431" s="52" t="s">
        <v>14</v>
      </c>
      <c r="I2431" s="5" t="n">
        <v>500</v>
      </c>
      <c r="J2431" s="10" t="s">
        <v>959</v>
      </c>
      <c r="K2431" s="54"/>
      <c r="L2431" s="55"/>
    </row>
    <row r="2432" customFormat="false" ht="12.8" hidden="false" customHeight="false" outlineLevel="0" collapsed="false">
      <c r="G2432" s="25" t="n">
        <v>44677</v>
      </c>
      <c r="H2432" s="52" t="s">
        <v>14</v>
      </c>
      <c r="I2432" s="5" t="n">
        <v>1.2</v>
      </c>
      <c r="J2432" s="10" t="s">
        <v>40</v>
      </c>
      <c r="K2432" s="54"/>
      <c r="L2432" s="55"/>
    </row>
    <row r="2433" customFormat="false" ht="12.8" hidden="false" customHeight="false" outlineLevel="0" collapsed="false">
      <c r="G2433" s="25" t="n">
        <v>44678</v>
      </c>
      <c r="H2433" s="43" t="s">
        <v>23</v>
      </c>
      <c r="I2433" s="5" t="n">
        <v>-72.37</v>
      </c>
      <c r="J2433" s="10" t="s">
        <v>37</v>
      </c>
      <c r="K2433" s="55"/>
      <c r="L2433" s="55"/>
    </row>
    <row r="2434" customFormat="false" ht="12.8" hidden="false" customHeight="false" outlineLevel="0" collapsed="false">
      <c r="G2434" s="25" t="n">
        <v>44679</v>
      </c>
      <c r="H2434" s="48" t="s">
        <v>26</v>
      </c>
      <c r="I2434" s="5" t="n">
        <v>-50</v>
      </c>
      <c r="J2434" s="10" t="s">
        <v>707</v>
      </c>
      <c r="K2434" s="55"/>
      <c r="L2434" s="55"/>
    </row>
    <row r="2435" customFormat="false" ht="12.8" hidden="false" customHeight="false" outlineLevel="0" collapsed="false">
      <c r="G2435" s="25" t="n">
        <v>44679</v>
      </c>
      <c r="H2435" s="52" t="s">
        <v>14</v>
      </c>
      <c r="I2435" s="5" t="n">
        <v>50</v>
      </c>
      <c r="J2435" s="10" t="s">
        <v>707</v>
      </c>
      <c r="K2435" s="55"/>
      <c r="L2435" s="55"/>
    </row>
    <row r="2436" customFormat="false" ht="12.8" hidden="false" customHeight="false" outlineLevel="0" collapsed="false">
      <c r="G2436" s="25" t="n">
        <v>44679</v>
      </c>
      <c r="H2436" s="43" t="s">
        <v>23</v>
      </c>
      <c r="I2436" s="5" t="n">
        <v>-63.14</v>
      </c>
      <c r="J2436" s="10" t="s">
        <v>37</v>
      </c>
      <c r="K2436" s="55"/>
      <c r="L2436" s="55"/>
    </row>
    <row r="2437" customFormat="false" ht="12.8" hidden="false" customHeight="false" outlineLevel="0" collapsed="false">
      <c r="G2437" s="25" t="n">
        <v>44680</v>
      </c>
      <c r="H2437" s="43" t="s">
        <v>23</v>
      </c>
      <c r="I2437" s="5" t="n">
        <v>-63.13</v>
      </c>
      <c r="J2437" s="10" t="s">
        <v>37</v>
      </c>
      <c r="K2437" s="55"/>
      <c r="L2437" s="55"/>
    </row>
    <row r="2438" customFormat="false" ht="12.8" hidden="false" customHeight="false" outlineLevel="0" collapsed="false">
      <c r="G2438" s="25" t="n">
        <v>44680</v>
      </c>
      <c r="H2438" s="43" t="s">
        <v>23</v>
      </c>
      <c r="I2438" s="5" t="n">
        <v>-42.71</v>
      </c>
      <c r="J2438" s="10" t="s">
        <v>37</v>
      </c>
      <c r="K2438" s="55"/>
      <c r="L2438" s="55"/>
    </row>
    <row r="2439" customFormat="false" ht="12.8" hidden="false" customHeight="false" outlineLevel="0" collapsed="false">
      <c r="G2439" s="25" t="n">
        <v>44681</v>
      </c>
      <c r="H2439" s="43" t="s">
        <v>23</v>
      </c>
      <c r="I2439" s="5" t="n">
        <v>-5</v>
      </c>
      <c r="J2439" s="10" t="s">
        <v>82</v>
      </c>
      <c r="K2439" s="10"/>
      <c r="L2439" s="10"/>
    </row>
    <row r="2440" customFormat="false" ht="12.8" hidden="false" customHeight="false" outlineLevel="0" collapsed="false">
      <c r="G2440" s="25" t="n">
        <v>44681</v>
      </c>
      <c r="H2440" s="43" t="s">
        <v>23</v>
      </c>
      <c r="I2440" s="5" t="n">
        <v>-84.7</v>
      </c>
      <c r="J2440" s="10" t="s">
        <v>37</v>
      </c>
      <c r="K2440" s="0"/>
      <c r="L2440" s="54"/>
    </row>
    <row r="2441" customFormat="false" ht="12.8" hidden="false" customHeight="false" outlineLevel="0" collapsed="false">
      <c r="G2441" s="25" t="n">
        <v>44682</v>
      </c>
      <c r="H2441" s="48" t="s">
        <v>26</v>
      </c>
      <c r="I2441" s="5" t="n">
        <v>-5</v>
      </c>
      <c r="J2441" s="0" t="s">
        <v>1031</v>
      </c>
      <c r="K2441" s="0"/>
      <c r="L2441" s="54"/>
    </row>
    <row r="2442" customFormat="false" ht="12.8" hidden="false" customHeight="false" outlineLevel="0" collapsed="false">
      <c r="G2442" s="25" t="n">
        <v>44682</v>
      </c>
      <c r="H2442" s="52" t="s">
        <v>14</v>
      </c>
      <c r="I2442" s="5" t="n">
        <v>0.8</v>
      </c>
      <c r="J2442" s="0" t="s">
        <v>40</v>
      </c>
      <c r="K2442" s="0"/>
      <c r="L2442" s="0"/>
    </row>
    <row r="2443" customFormat="false" ht="12.8" hidden="false" customHeight="false" outlineLevel="0" collapsed="false">
      <c r="G2443" s="25" t="n">
        <v>44682</v>
      </c>
      <c r="H2443" s="43" t="s">
        <v>23</v>
      </c>
      <c r="I2443" s="5" t="n">
        <v>-70.66</v>
      </c>
      <c r="J2443" s="10" t="s">
        <v>37</v>
      </c>
      <c r="K2443" s="0"/>
      <c r="L2443" s="0"/>
    </row>
    <row r="2444" customFormat="false" ht="12.8" hidden="false" customHeight="false" outlineLevel="0" collapsed="false">
      <c r="G2444" s="25" t="n">
        <v>44683</v>
      </c>
      <c r="H2444" s="43" t="s">
        <v>23</v>
      </c>
      <c r="I2444" s="5" t="n">
        <v>-72.71</v>
      </c>
      <c r="J2444" s="10" t="s">
        <v>37</v>
      </c>
      <c r="K2444" s="0"/>
      <c r="L2444" s="0"/>
    </row>
    <row r="2445" customFormat="false" ht="12.8" hidden="false" customHeight="false" outlineLevel="0" collapsed="false">
      <c r="G2445" s="25" t="n">
        <v>44683</v>
      </c>
      <c r="H2445" s="48" t="s">
        <v>26</v>
      </c>
      <c r="I2445" s="5" t="n">
        <v>-10</v>
      </c>
      <c r="J2445" s="0" t="s">
        <v>846</v>
      </c>
      <c r="K2445" s="0"/>
      <c r="L2445" s="0"/>
    </row>
    <row r="2446" customFormat="false" ht="12.8" hidden="false" customHeight="false" outlineLevel="0" collapsed="false">
      <c r="G2446" s="25" t="n">
        <v>44683</v>
      </c>
      <c r="H2446" s="52" t="s">
        <v>14</v>
      </c>
      <c r="I2446" s="5" t="n">
        <v>-2003</v>
      </c>
      <c r="J2446" s="10" t="s">
        <v>66</v>
      </c>
      <c r="K2446" s="0"/>
      <c r="L2446" s="0"/>
    </row>
    <row r="2447" customFormat="false" ht="12.8" hidden="false" customHeight="false" outlineLevel="0" collapsed="false">
      <c r="G2447" s="25" t="n">
        <v>44683</v>
      </c>
      <c r="H2447" s="48" t="s">
        <v>26</v>
      </c>
      <c r="I2447" s="5" t="n">
        <v>2003</v>
      </c>
      <c r="J2447" s="10" t="s">
        <v>66</v>
      </c>
      <c r="K2447" s="0"/>
      <c r="L2447" s="0"/>
    </row>
    <row r="2448" customFormat="false" ht="12.8" hidden="false" customHeight="false" outlineLevel="0" collapsed="false">
      <c r="G2448" s="25" t="n">
        <v>44683</v>
      </c>
      <c r="H2448" s="48" t="s">
        <v>26</v>
      </c>
      <c r="I2448" s="5" t="n">
        <v>-2000</v>
      </c>
      <c r="J2448" s="10" t="s">
        <v>959</v>
      </c>
      <c r="K2448" s="0"/>
      <c r="L2448" s="0"/>
    </row>
    <row r="2449" customFormat="false" ht="12.8" hidden="false" customHeight="false" outlineLevel="0" collapsed="false">
      <c r="G2449" s="25" t="n">
        <v>44683</v>
      </c>
      <c r="H2449" s="48" t="s">
        <v>26</v>
      </c>
      <c r="I2449" s="5" t="n">
        <v>-3</v>
      </c>
      <c r="J2449" s="10" t="s">
        <v>932</v>
      </c>
      <c r="K2449" s="0"/>
      <c r="L2449" s="0"/>
    </row>
    <row r="2450" customFormat="false" ht="12.8" hidden="false" customHeight="false" outlineLevel="0" collapsed="false">
      <c r="G2450" s="25" t="n">
        <v>44683</v>
      </c>
      <c r="H2450" s="32" t="s">
        <v>15</v>
      </c>
      <c r="I2450" s="5" t="n">
        <v>2000</v>
      </c>
      <c r="J2450" s="10" t="s">
        <v>38</v>
      </c>
      <c r="K2450" s="0"/>
      <c r="L2450" s="0"/>
    </row>
    <row r="2451" customFormat="false" ht="12.8" hidden="false" customHeight="false" outlineLevel="0" collapsed="false">
      <c r="G2451" s="25" t="n">
        <v>44683</v>
      </c>
      <c r="H2451" s="43" t="s">
        <v>23</v>
      </c>
      <c r="I2451" s="5" t="n">
        <v>-41.86</v>
      </c>
      <c r="J2451" s="10" t="s">
        <v>37</v>
      </c>
      <c r="K2451" s="0"/>
      <c r="L2451" s="0"/>
    </row>
    <row r="2452" customFormat="false" ht="12.8" hidden="false" customHeight="false" outlineLevel="0" collapsed="false">
      <c r="G2452" s="25" t="n">
        <v>44684</v>
      </c>
      <c r="H2452" s="32" t="s">
        <v>15</v>
      </c>
      <c r="I2452" s="5" t="n">
        <v>-2000</v>
      </c>
      <c r="J2452" s="0" t="s">
        <v>104</v>
      </c>
      <c r="K2452" s="0"/>
      <c r="L2452" s="0"/>
    </row>
    <row r="2453" customFormat="false" ht="12.8" hidden="false" customHeight="false" outlineLevel="0" collapsed="false">
      <c r="G2453" s="25" t="n">
        <v>44684</v>
      </c>
      <c r="H2453" s="26" t="s">
        <v>10</v>
      </c>
      <c r="I2453" s="5" t="n">
        <v>2000</v>
      </c>
      <c r="J2453" s="0" t="s">
        <v>104</v>
      </c>
      <c r="K2453" s="0"/>
      <c r="L2453" s="0"/>
    </row>
    <row r="2454" customFormat="false" ht="12.8" hidden="false" customHeight="false" outlineLevel="0" collapsed="false">
      <c r="G2454" s="25" t="n">
        <v>44684</v>
      </c>
      <c r="H2454" s="26" t="s">
        <v>10</v>
      </c>
      <c r="I2454" s="5" t="n">
        <v>0.68</v>
      </c>
      <c r="J2454" s="0" t="s">
        <v>40</v>
      </c>
      <c r="K2454" s="0"/>
      <c r="L2454" s="0"/>
    </row>
    <row r="2455" customFormat="false" ht="12.8" hidden="false" customHeight="false" outlineLevel="0" collapsed="false">
      <c r="G2455" s="25" t="n">
        <v>44684</v>
      </c>
      <c r="H2455" s="38" t="s">
        <v>21</v>
      </c>
      <c r="I2455" s="5" t="n">
        <v>-15</v>
      </c>
      <c r="J2455" s="0" t="s">
        <v>82</v>
      </c>
      <c r="K2455" s="0"/>
      <c r="L2455" s="0"/>
    </row>
    <row r="2456" customFormat="false" ht="12.8" hidden="false" customHeight="false" outlineLevel="0" collapsed="false">
      <c r="G2456" s="25" t="n">
        <v>44684</v>
      </c>
      <c r="H2456" s="43" t="s">
        <v>23</v>
      </c>
      <c r="I2456" s="5" t="n">
        <v>-81.31</v>
      </c>
      <c r="J2456" s="10" t="s">
        <v>37</v>
      </c>
      <c r="K2456" s="0"/>
      <c r="L2456" s="0"/>
    </row>
    <row r="2457" customFormat="false" ht="12.8" hidden="false" customHeight="false" outlineLevel="0" collapsed="false">
      <c r="G2457" s="25" t="n">
        <v>44685</v>
      </c>
      <c r="H2457" s="43" t="s">
        <v>23</v>
      </c>
      <c r="I2457" s="5" t="n">
        <v>-98.46</v>
      </c>
      <c r="J2457" s="10" t="s">
        <v>37</v>
      </c>
      <c r="K2457" s="0"/>
      <c r="L2457" s="0"/>
    </row>
    <row r="2458" customFormat="false" ht="12.8" hidden="false" customHeight="false" outlineLevel="0" collapsed="false">
      <c r="G2458" s="25" t="n">
        <v>44685</v>
      </c>
      <c r="H2458" s="43" t="s">
        <v>23</v>
      </c>
      <c r="I2458" s="5" t="n">
        <v>250</v>
      </c>
      <c r="J2458" s="10" t="s">
        <v>965</v>
      </c>
      <c r="K2458" s="0"/>
      <c r="L2458" s="0"/>
      <c r="M2458" s="0"/>
    </row>
    <row r="2459" customFormat="false" ht="12.8" hidden="false" customHeight="false" outlineLevel="0" collapsed="false">
      <c r="G2459" s="25" t="n">
        <v>44685</v>
      </c>
      <c r="H2459" s="43" t="s">
        <v>23</v>
      </c>
      <c r="I2459" s="5" t="n">
        <v>-5</v>
      </c>
      <c r="J2459" s="10" t="s">
        <v>1032</v>
      </c>
      <c r="K2459" s="0"/>
      <c r="L2459" s="0"/>
      <c r="M2459" s="0"/>
    </row>
    <row r="2460" customFormat="false" ht="12.8" hidden="false" customHeight="false" outlineLevel="0" collapsed="false">
      <c r="G2460" s="25" t="n">
        <v>44685</v>
      </c>
      <c r="H2460" s="26" t="s">
        <v>10</v>
      </c>
      <c r="I2460" s="5" t="n">
        <v>-500</v>
      </c>
      <c r="J2460" s="54" t="s">
        <v>38</v>
      </c>
      <c r="K2460" s="5"/>
      <c r="L2460" s="55"/>
      <c r="M2460" s="0"/>
    </row>
    <row r="2461" customFormat="false" ht="12.8" hidden="false" customHeight="false" outlineLevel="0" collapsed="false">
      <c r="G2461" s="25" t="n">
        <v>44685</v>
      </c>
      <c r="H2461" s="32" t="s">
        <v>15</v>
      </c>
      <c r="I2461" s="5" t="n">
        <v>500</v>
      </c>
      <c r="J2461" s="54" t="s">
        <v>38</v>
      </c>
      <c r="K2461" s="5"/>
      <c r="L2461" s="0"/>
      <c r="M2461" s="0"/>
    </row>
    <row r="2462" customFormat="false" ht="12.8" hidden="false" customHeight="false" outlineLevel="0" collapsed="false">
      <c r="G2462" s="25" t="n">
        <v>44685</v>
      </c>
      <c r="H2462" s="32" t="s">
        <v>15</v>
      </c>
      <c r="I2462" s="5" t="n">
        <v>-500</v>
      </c>
      <c r="J2462" s="54" t="s">
        <v>38</v>
      </c>
      <c r="K2462" s="5"/>
      <c r="L2462" s="0"/>
      <c r="M2462" s="0"/>
    </row>
    <row r="2463" customFormat="false" ht="12.8" hidden="false" customHeight="false" outlineLevel="0" collapsed="false">
      <c r="G2463" s="25" t="n">
        <v>44685</v>
      </c>
      <c r="H2463" s="48" t="s">
        <v>26</v>
      </c>
      <c r="I2463" s="5" t="n">
        <v>500</v>
      </c>
      <c r="J2463" s="54" t="s">
        <v>38</v>
      </c>
      <c r="K2463" s="5"/>
      <c r="L2463" s="5"/>
      <c r="M2463" s="0"/>
    </row>
    <row r="2464" customFormat="false" ht="12.8" hidden="false" customHeight="false" outlineLevel="0" collapsed="false">
      <c r="G2464" s="25" t="n">
        <v>44686</v>
      </c>
      <c r="H2464" s="48" t="s">
        <v>26</v>
      </c>
      <c r="I2464" s="5" t="n">
        <v>-500</v>
      </c>
      <c r="J2464" s="0" t="s">
        <v>104</v>
      </c>
      <c r="K2464" s="5"/>
      <c r="L2464" s="5"/>
      <c r="M2464" s="0"/>
    </row>
    <row r="2465" customFormat="false" ht="12.8" hidden="false" customHeight="false" outlineLevel="0" collapsed="false">
      <c r="G2465" s="25" t="n">
        <v>44686</v>
      </c>
      <c r="H2465" s="52" t="s">
        <v>14</v>
      </c>
      <c r="I2465" s="5" t="n">
        <v>500</v>
      </c>
      <c r="J2465" s="55" t="s">
        <v>104</v>
      </c>
      <c r="K2465" s="5"/>
      <c r="L2465" s="5"/>
    </row>
    <row r="2466" customFormat="false" ht="12.8" hidden="false" customHeight="false" outlineLevel="0" collapsed="false">
      <c r="G2466" s="25" t="n">
        <v>44686</v>
      </c>
      <c r="H2466" s="43" t="s">
        <v>23</v>
      </c>
      <c r="I2466" s="5" t="n">
        <v>-76.42</v>
      </c>
      <c r="J2466" s="10" t="s">
        <v>37</v>
      </c>
      <c r="K2466" s="0"/>
      <c r="L2466" s="0"/>
    </row>
    <row r="2467" customFormat="false" ht="12.8" hidden="false" customHeight="false" outlineLevel="0" collapsed="false">
      <c r="G2467" s="25" t="n">
        <v>44687</v>
      </c>
      <c r="H2467" s="43" t="s">
        <v>23</v>
      </c>
      <c r="I2467" s="5" t="n">
        <v>-68.79</v>
      </c>
      <c r="J2467" s="10" t="s">
        <v>37</v>
      </c>
      <c r="K2467" s="0"/>
      <c r="L2467" s="0"/>
    </row>
    <row r="2468" customFormat="false" ht="12.8" hidden="false" customHeight="false" outlineLevel="0" collapsed="false">
      <c r="G2468" s="25" t="n">
        <v>44687</v>
      </c>
      <c r="H2468" s="43" t="s">
        <v>23</v>
      </c>
      <c r="I2468" s="5" t="n">
        <v>-12.13</v>
      </c>
      <c r="J2468" s="10" t="s">
        <v>37</v>
      </c>
      <c r="K2468" s="0"/>
      <c r="L2468" s="0"/>
    </row>
    <row r="2469" customFormat="false" ht="12.8" hidden="false" customHeight="false" outlineLevel="0" collapsed="false">
      <c r="G2469" s="25" t="n">
        <v>44688</v>
      </c>
      <c r="H2469" s="43" t="s">
        <v>23</v>
      </c>
      <c r="I2469" s="5" t="n">
        <v>-83.3</v>
      </c>
      <c r="J2469" s="10" t="s">
        <v>37</v>
      </c>
      <c r="K2469" s="0"/>
      <c r="L2469" s="0"/>
    </row>
    <row r="2470" customFormat="false" ht="12.8" hidden="false" customHeight="false" outlineLevel="0" collapsed="false">
      <c r="G2470" s="25" t="n">
        <v>44688</v>
      </c>
      <c r="H2470" s="43" t="s">
        <v>23</v>
      </c>
      <c r="I2470" s="5" t="n">
        <v>-21.51</v>
      </c>
      <c r="J2470" s="10" t="s">
        <v>37</v>
      </c>
      <c r="K2470" s="0"/>
      <c r="L2470" s="0"/>
    </row>
    <row r="2471" customFormat="false" ht="12.8" hidden="false" customHeight="false" outlineLevel="0" collapsed="false">
      <c r="G2471" s="25" t="n">
        <v>44689</v>
      </c>
      <c r="H2471" s="43" t="s">
        <v>23</v>
      </c>
      <c r="I2471" s="5" t="n">
        <v>-73.66</v>
      </c>
      <c r="J2471" s="10" t="s">
        <v>37</v>
      </c>
      <c r="K2471" s="0"/>
      <c r="L2471" s="0"/>
    </row>
    <row r="2472" customFormat="false" ht="12.8" hidden="false" customHeight="false" outlineLevel="0" collapsed="false">
      <c r="G2472" s="25" t="n">
        <v>44689</v>
      </c>
      <c r="H2472" s="43" t="s">
        <v>23</v>
      </c>
      <c r="I2472" s="5" t="n">
        <v>-21.5</v>
      </c>
      <c r="J2472" s="10" t="s">
        <v>37</v>
      </c>
      <c r="K2472" s="0"/>
      <c r="L2472" s="0"/>
    </row>
    <row r="2473" customFormat="false" ht="12.8" hidden="false" customHeight="false" outlineLevel="0" collapsed="false">
      <c r="G2473" s="25" t="n">
        <v>44690</v>
      </c>
      <c r="H2473" s="43" t="s">
        <v>23</v>
      </c>
      <c r="I2473" s="5" t="n">
        <v>-78.02</v>
      </c>
      <c r="J2473" s="10" t="s">
        <v>37</v>
      </c>
      <c r="K2473" s="0"/>
      <c r="L2473" s="0"/>
    </row>
    <row r="2474" customFormat="false" ht="12.8" hidden="false" customHeight="false" outlineLevel="0" collapsed="false">
      <c r="G2474" s="25" t="n">
        <v>44691</v>
      </c>
      <c r="H2474" s="43" t="s">
        <v>23</v>
      </c>
      <c r="I2474" s="5" t="n">
        <v>-87.61</v>
      </c>
      <c r="J2474" s="10" t="s">
        <v>37</v>
      </c>
      <c r="K2474" s="0"/>
      <c r="L2474" s="0"/>
    </row>
    <row r="2475" customFormat="false" ht="12.8" hidden="false" customHeight="false" outlineLevel="0" collapsed="false">
      <c r="G2475" s="25" t="n">
        <v>44692</v>
      </c>
      <c r="H2475" s="43" t="s">
        <v>23</v>
      </c>
      <c r="I2475" s="5" t="n">
        <v>-29.5</v>
      </c>
      <c r="J2475" s="10" t="s">
        <v>841</v>
      </c>
      <c r="K2475" s="0"/>
      <c r="L2475" s="0"/>
    </row>
    <row r="2476" customFormat="false" ht="12.8" hidden="false" customHeight="false" outlineLevel="0" collapsed="false">
      <c r="G2476" s="25" t="n">
        <v>44692</v>
      </c>
      <c r="H2476" s="43" t="s">
        <v>23</v>
      </c>
      <c r="I2476" s="5" t="n">
        <v>-84.8</v>
      </c>
      <c r="J2476" s="10" t="s">
        <v>37</v>
      </c>
      <c r="K2476" s="0"/>
      <c r="L2476" s="0"/>
    </row>
    <row r="2477" customFormat="false" ht="12.8" hidden="false" customHeight="false" outlineLevel="0" collapsed="false">
      <c r="G2477" s="25" t="n">
        <v>44693</v>
      </c>
      <c r="H2477" s="43" t="s">
        <v>23</v>
      </c>
      <c r="I2477" s="5" t="n">
        <v>-93.92</v>
      </c>
      <c r="J2477" s="10" t="s">
        <v>37</v>
      </c>
      <c r="K2477" s="0"/>
      <c r="L2477" s="0"/>
    </row>
    <row r="2478" customFormat="false" ht="12.8" hidden="false" customHeight="false" outlineLevel="0" collapsed="false">
      <c r="G2478" s="25" t="n">
        <v>44694</v>
      </c>
      <c r="H2478" s="43" t="s">
        <v>23</v>
      </c>
      <c r="I2478" s="5" t="n">
        <v>-71.18</v>
      </c>
      <c r="J2478" s="10" t="s">
        <v>37</v>
      </c>
      <c r="K2478" s="0"/>
      <c r="L2478" s="10"/>
    </row>
    <row r="2479" customFormat="false" ht="12.8" hidden="false" customHeight="false" outlineLevel="0" collapsed="false">
      <c r="G2479" s="25" t="n">
        <v>44695</v>
      </c>
      <c r="H2479" s="43" t="s">
        <v>23</v>
      </c>
      <c r="I2479" s="5" t="n">
        <v>-92.16</v>
      </c>
      <c r="J2479" s="10" t="s">
        <v>37</v>
      </c>
      <c r="K2479" s="0"/>
      <c r="L2479" s="0"/>
    </row>
    <row r="2480" customFormat="false" ht="12.8" hidden="false" customHeight="false" outlineLevel="0" collapsed="false">
      <c r="G2480" s="25" t="n">
        <v>44696</v>
      </c>
      <c r="H2480" s="43" t="s">
        <v>23</v>
      </c>
      <c r="I2480" s="5" t="n">
        <v>-60.5</v>
      </c>
      <c r="J2480" s="10" t="s">
        <v>37</v>
      </c>
      <c r="K2480" s="0"/>
      <c r="L2480" s="0"/>
    </row>
    <row r="2481" customFormat="false" ht="12.8" hidden="false" customHeight="false" outlineLevel="0" collapsed="false">
      <c r="G2481" s="25" t="n">
        <v>44697</v>
      </c>
      <c r="H2481" s="43" t="s">
        <v>23</v>
      </c>
      <c r="I2481" s="5" t="n">
        <v>-83.91</v>
      </c>
      <c r="J2481" s="10" t="s">
        <v>37</v>
      </c>
      <c r="K2481" s="0"/>
      <c r="L2481" s="0"/>
    </row>
    <row r="2482" customFormat="false" ht="12.8" hidden="false" customHeight="false" outlineLevel="0" collapsed="false">
      <c r="G2482" s="25" t="n">
        <v>44697</v>
      </c>
      <c r="H2482" s="26" t="s">
        <v>10</v>
      </c>
      <c r="I2482" s="5" t="n">
        <v>-0.36</v>
      </c>
      <c r="J2482" s="0" t="s">
        <v>1033</v>
      </c>
      <c r="K2482" s="0"/>
      <c r="L2482" s="0"/>
    </row>
    <row r="2483" customFormat="false" ht="12.8" hidden="false" customHeight="false" outlineLevel="0" collapsed="false">
      <c r="G2483" s="25" t="n">
        <v>44697</v>
      </c>
      <c r="H2483" s="43" t="s">
        <v>23</v>
      </c>
      <c r="I2483" s="5" t="n">
        <v>2050</v>
      </c>
      <c r="J2483" s="10" t="s">
        <v>70</v>
      </c>
      <c r="K2483" s="0"/>
      <c r="L2483" s="0"/>
    </row>
    <row r="2484" customFormat="false" ht="12.8" hidden="false" customHeight="false" outlineLevel="0" collapsed="false">
      <c r="G2484" s="25" t="n">
        <v>44697</v>
      </c>
      <c r="H2484" s="43" t="s">
        <v>23</v>
      </c>
      <c r="I2484" s="5" t="n">
        <v>-5</v>
      </c>
      <c r="J2484" s="10" t="s">
        <v>130</v>
      </c>
      <c r="K2484" s="0"/>
      <c r="L2484" s="0"/>
    </row>
    <row r="2485" customFormat="false" ht="12.8" hidden="false" customHeight="false" outlineLevel="0" collapsed="false">
      <c r="G2485" s="25" t="n">
        <v>44698</v>
      </c>
      <c r="H2485" s="43" t="s">
        <v>23</v>
      </c>
      <c r="I2485" s="5" t="n">
        <v>-15</v>
      </c>
      <c r="J2485" s="55" t="s">
        <v>865</v>
      </c>
      <c r="K2485" s="0"/>
      <c r="L2485" s="0"/>
    </row>
    <row r="2486" customFormat="false" ht="12.8" hidden="false" customHeight="false" outlineLevel="0" collapsed="false">
      <c r="G2486" s="25" t="n">
        <v>44698</v>
      </c>
      <c r="H2486" s="38" t="s">
        <v>21</v>
      </c>
      <c r="I2486" s="5" t="n">
        <v>15</v>
      </c>
      <c r="J2486" s="0" t="s">
        <v>865</v>
      </c>
      <c r="K2486" s="0"/>
      <c r="L2486" s="0"/>
    </row>
    <row r="2487" customFormat="false" ht="12.8" hidden="false" customHeight="false" outlineLevel="0" collapsed="false">
      <c r="G2487" s="25" t="n">
        <v>44698</v>
      </c>
      <c r="H2487" s="43" t="s">
        <v>23</v>
      </c>
      <c r="I2487" s="5" t="n">
        <v>-541</v>
      </c>
      <c r="J2487" s="0" t="s">
        <v>44</v>
      </c>
      <c r="K2487" s="0"/>
      <c r="L2487" s="0"/>
    </row>
    <row r="2488" customFormat="false" ht="12.8" hidden="false" customHeight="false" outlineLevel="0" collapsed="false">
      <c r="G2488" s="25" t="n">
        <v>44698</v>
      </c>
      <c r="H2488" s="26" t="s">
        <v>10</v>
      </c>
      <c r="I2488" s="5" t="n">
        <v>-92.32</v>
      </c>
      <c r="J2488" s="54" t="s">
        <v>38</v>
      </c>
      <c r="K2488" s="0"/>
      <c r="L2488" s="0"/>
    </row>
    <row r="2489" customFormat="false" ht="12.8" hidden="false" customHeight="false" outlineLevel="0" collapsed="false">
      <c r="G2489" s="25" t="n">
        <v>44698</v>
      </c>
      <c r="H2489" s="32" t="s">
        <v>15</v>
      </c>
      <c r="I2489" s="5" t="n">
        <v>92.32</v>
      </c>
      <c r="J2489" s="54" t="s">
        <v>38</v>
      </c>
      <c r="K2489" s="0"/>
      <c r="L2489" s="0"/>
    </row>
    <row r="2490" customFormat="false" ht="12.8" hidden="false" customHeight="false" outlineLevel="0" collapsed="false">
      <c r="G2490" s="25" t="n">
        <v>44698</v>
      </c>
      <c r="H2490" s="32" t="s">
        <v>15</v>
      </c>
      <c r="I2490" s="5" t="n">
        <v>-92.21</v>
      </c>
      <c r="J2490" s="54" t="s">
        <v>37</v>
      </c>
      <c r="K2490" s="0"/>
      <c r="L2490" s="0"/>
    </row>
    <row r="2491" customFormat="false" ht="12.8" hidden="false" customHeight="false" outlineLevel="0" collapsed="false">
      <c r="G2491" s="25" t="n">
        <v>44699</v>
      </c>
      <c r="H2491" s="26" t="s">
        <v>10</v>
      </c>
      <c r="I2491" s="5" t="n">
        <v>-75</v>
      </c>
      <c r="J2491" s="54" t="s">
        <v>38</v>
      </c>
      <c r="K2491" s="0"/>
      <c r="L2491" s="0"/>
    </row>
    <row r="2492" customFormat="false" ht="12.8" hidden="false" customHeight="false" outlineLevel="0" collapsed="false">
      <c r="G2492" s="25" t="n">
        <v>44699</v>
      </c>
      <c r="H2492" s="32" t="s">
        <v>15</v>
      </c>
      <c r="I2492" s="5" t="n">
        <v>75</v>
      </c>
      <c r="J2492" s="54" t="s">
        <v>38</v>
      </c>
      <c r="K2492" s="0"/>
      <c r="L2492" s="0"/>
    </row>
    <row r="2493" customFormat="false" ht="12.8" hidden="false" customHeight="false" outlineLevel="0" collapsed="false">
      <c r="G2493" s="25" t="n">
        <v>44699</v>
      </c>
      <c r="H2493" s="32" t="s">
        <v>15</v>
      </c>
      <c r="I2493" s="5" t="n">
        <v>-50.08</v>
      </c>
      <c r="J2493" s="54" t="s">
        <v>37</v>
      </c>
      <c r="K2493" s="0"/>
      <c r="L2493" s="0"/>
    </row>
    <row r="2494" customFormat="false" ht="12.8" hidden="false" customHeight="false" outlineLevel="0" collapsed="false">
      <c r="G2494" s="25" t="n">
        <v>44699</v>
      </c>
      <c r="H2494" s="43" t="s">
        <v>23</v>
      </c>
      <c r="I2494" s="5" t="n">
        <v>-65.51</v>
      </c>
      <c r="J2494" s="0" t="s">
        <v>48</v>
      </c>
      <c r="K2494" s="0"/>
      <c r="L2494" s="0"/>
    </row>
    <row r="2495" customFormat="false" ht="12.8" hidden="false" customHeight="false" outlineLevel="0" collapsed="false">
      <c r="G2495" s="25" t="n">
        <v>44700</v>
      </c>
      <c r="H2495" s="43" t="s">
        <v>23</v>
      </c>
      <c r="I2495" s="5" t="n">
        <v>-127.59</v>
      </c>
      <c r="J2495" s="0" t="s">
        <v>47</v>
      </c>
      <c r="K2495" s="5"/>
      <c r="L2495" s="0"/>
    </row>
    <row r="2496" customFormat="false" ht="12.8" hidden="false" customHeight="false" outlineLevel="0" collapsed="false">
      <c r="G2496" s="25" t="n">
        <v>44700</v>
      </c>
      <c r="H2496" s="43" t="s">
        <v>23</v>
      </c>
      <c r="I2496" s="5" t="n">
        <v>-277.61</v>
      </c>
      <c r="J2496" s="0" t="s">
        <v>843</v>
      </c>
      <c r="K2496" s="0"/>
      <c r="L2496" s="0"/>
    </row>
    <row r="2497" customFormat="false" ht="12.8" hidden="false" customHeight="false" outlineLevel="0" collapsed="false">
      <c r="G2497" s="25" t="n">
        <v>44700</v>
      </c>
      <c r="H2497" s="26" t="s">
        <v>10</v>
      </c>
      <c r="I2497" s="5" t="n">
        <v>-50</v>
      </c>
      <c r="J2497" s="54" t="s">
        <v>38</v>
      </c>
      <c r="K2497" s="0"/>
      <c r="L2497" s="0"/>
    </row>
    <row r="2498" customFormat="false" ht="12.8" hidden="false" customHeight="false" outlineLevel="0" collapsed="false">
      <c r="G2498" s="25" t="n">
        <v>44700</v>
      </c>
      <c r="H2498" s="32" t="s">
        <v>15</v>
      </c>
      <c r="I2498" s="5" t="n">
        <v>50</v>
      </c>
      <c r="J2498" s="54" t="s">
        <v>38</v>
      </c>
      <c r="K2498" s="0"/>
      <c r="L2498" s="0"/>
    </row>
    <row r="2499" customFormat="false" ht="12.8" hidden="false" customHeight="false" outlineLevel="0" collapsed="false">
      <c r="G2499" s="25" t="n">
        <v>44700</v>
      </c>
      <c r="H2499" s="32" t="s">
        <v>15</v>
      </c>
      <c r="I2499" s="5" t="n">
        <v>-45.98</v>
      </c>
      <c r="J2499" s="54" t="s">
        <v>37</v>
      </c>
      <c r="K2499" s="0"/>
      <c r="L2499" s="0"/>
    </row>
    <row r="2500" customFormat="false" ht="12.8" hidden="false" customHeight="false" outlineLevel="0" collapsed="false">
      <c r="G2500" s="25" t="n">
        <v>44700</v>
      </c>
      <c r="H2500" s="32" t="s">
        <v>15</v>
      </c>
      <c r="I2500" s="5" t="n">
        <v>-29</v>
      </c>
      <c r="J2500" s="0" t="s">
        <v>56</v>
      </c>
      <c r="K2500" s="0"/>
      <c r="L2500" s="0"/>
    </row>
    <row r="2501" customFormat="false" ht="12.8" hidden="false" customHeight="false" outlineLevel="0" collapsed="false">
      <c r="G2501" s="25" t="n">
        <v>44700</v>
      </c>
      <c r="H2501" s="48" t="s">
        <v>26</v>
      </c>
      <c r="I2501" s="5" t="n">
        <v>29</v>
      </c>
      <c r="J2501" s="0" t="s">
        <v>56</v>
      </c>
      <c r="K2501" s="0"/>
      <c r="L2501" s="0"/>
    </row>
    <row r="2502" customFormat="false" ht="12.8" hidden="false" customHeight="false" outlineLevel="0" collapsed="false">
      <c r="G2502" s="25" t="n">
        <v>44700</v>
      </c>
      <c r="H2502" s="43" t="s">
        <v>23</v>
      </c>
      <c r="I2502" s="5" t="n">
        <v>-50.99</v>
      </c>
      <c r="J2502" s="0" t="s">
        <v>952</v>
      </c>
      <c r="K2502" s="0"/>
      <c r="L2502" s="0"/>
    </row>
    <row r="2503" customFormat="false" ht="12.8" hidden="false" customHeight="false" outlineLevel="0" collapsed="false">
      <c r="G2503" s="25" t="n">
        <v>44701</v>
      </c>
      <c r="H2503" s="43" t="s">
        <v>23</v>
      </c>
      <c r="I2503" s="5" t="n">
        <v>-100.05</v>
      </c>
      <c r="J2503" s="0" t="s">
        <v>37</v>
      </c>
      <c r="K2503" s="0"/>
      <c r="L2503" s="0"/>
    </row>
    <row r="2504" customFormat="false" ht="12.8" hidden="false" customHeight="false" outlineLevel="0" collapsed="false">
      <c r="G2504" s="25" t="n">
        <v>44701</v>
      </c>
      <c r="H2504" s="43" t="s">
        <v>23</v>
      </c>
      <c r="I2504" s="5" t="n">
        <v>-85.3</v>
      </c>
      <c r="J2504" s="0" t="s">
        <v>1000</v>
      </c>
      <c r="K2504" s="0"/>
      <c r="L2504" s="0"/>
    </row>
    <row r="2505" customFormat="false" ht="12.8" hidden="false" customHeight="false" outlineLevel="0" collapsed="false">
      <c r="G2505" s="25" t="n">
        <v>44702</v>
      </c>
      <c r="H2505" s="43" t="s">
        <v>23</v>
      </c>
      <c r="I2505" s="5" t="n">
        <v>-89.48</v>
      </c>
      <c r="J2505" s="0" t="s">
        <v>37</v>
      </c>
      <c r="K2505" s="0"/>
      <c r="L2505" s="0"/>
    </row>
    <row r="2506" customFormat="false" ht="12.8" hidden="false" customHeight="false" outlineLevel="0" collapsed="false">
      <c r="G2506" s="25" t="n">
        <v>44703</v>
      </c>
      <c r="H2506" s="43" t="s">
        <v>23</v>
      </c>
      <c r="I2506" s="5" t="n">
        <v>-99.88</v>
      </c>
      <c r="J2506" s="0" t="s">
        <v>37</v>
      </c>
      <c r="K2506" s="0"/>
      <c r="L2506" s="0"/>
    </row>
    <row r="2507" customFormat="false" ht="12.8" hidden="false" customHeight="false" outlineLevel="0" collapsed="false">
      <c r="G2507" s="25" t="n">
        <v>44704</v>
      </c>
      <c r="H2507" s="26" t="s">
        <v>10</v>
      </c>
      <c r="I2507" s="5" t="n">
        <v>-799</v>
      </c>
      <c r="J2507" s="54" t="s">
        <v>1034</v>
      </c>
      <c r="K2507" s="0"/>
      <c r="L2507" s="0"/>
    </row>
    <row r="2508" customFormat="false" ht="12.8" hidden="false" customHeight="false" outlineLevel="0" collapsed="false">
      <c r="G2508" s="25" t="n">
        <v>44704</v>
      </c>
      <c r="H2508" s="32" t="s">
        <v>15</v>
      </c>
      <c r="I2508" s="5" t="n">
        <v>799</v>
      </c>
      <c r="J2508" s="54" t="s">
        <v>1034</v>
      </c>
      <c r="K2508" s="0"/>
      <c r="L2508" s="0"/>
    </row>
    <row r="2509" customFormat="false" ht="12.8" hidden="false" customHeight="false" outlineLevel="0" collapsed="false">
      <c r="G2509" s="25" t="n">
        <v>44704</v>
      </c>
      <c r="H2509" s="32" t="s">
        <v>15</v>
      </c>
      <c r="I2509" s="5" t="n">
        <v>-799</v>
      </c>
      <c r="J2509" s="0" t="s">
        <v>56</v>
      </c>
      <c r="K2509" s="0"/>
      <c r="L2509" s="0"/>
    </row>
    <row r="2510" customFormat="false" ht="12.8" hidden="false" customHeight="false" outlineLevel="0" collapsed="false">
      <c r="G2510" s="25" t="n">
        <v>44704</v>
      </c>
      <c r="H2510" s="48" t="s">
        <v>26</v>
      </c>
      <c r="I2510" s="5" t="n">
        <v>799</v>
      </c>
      <c r="J2510" s="0" t="s">
        <v>56</v>
      </c>
      <c r="K2510" s="0"/>
      <c r="L2510" s="0"/>
    </row>
    <row r="2511" customFormat="false" ht="12.8" hidden="false" customHeight="false" outlineLevel="0" collapsed="false">
      <c r="G2511" s="25" t="n">
        <v>44704</v>
      </c>
      <c r="H2511" s="43" t="s">
        <v>23</v>
      </c>
      <c r="I2511" s="5" t="n">
        <v>-97.42</v>
      </c>
      <c r="J2511" s="0" t="s">
        <v>37</v>
      </c>
      <c r="K2511" s="0"/>
      <c r="L2511" s="0"/>
      <c r="M2511" s="0"/>
      <c r="N2511" s="0"/>
      <c r="O2511" s="0"/>
      <c r="P2511" s="0"/>
      <c r="Q2511" s="0"/>
    </row>
    <row r="2512" customFormat="false" ht="12.8" hidden="false" customHeight="false" outlineLevel="0" collapsed="false">
      <c r="G2512" s="25" t="n">
        <v>44704</v>
      </c>
      <c r="H2512" s="26" t="s">
        <v>10</v>
      </c>
      <c r="I2512" s="5" t="n">
        <v>-150</v>
      </c>
      <c r="J2512" s="54" t="s">
        <v>1035</v>
      </c>
      <c r="K2512" s="0"/>
      <c r="L2512" s="0"/>
      <c r="M2512" s="0"/>
      <c r="N2512" s="0"/>
    </row>
    <row r="2513" customFormat="false" ht="12.8" hidden="false" customHeight="false" outlineLevel="0" collapsed="false">
      <c r="G2513" s="25" t="n">
        <v>44704</v>
      </c>
      <c r="H2513" s="32" t="s">
        <v>15</v>
      </c>
      <c r="I2513" s="5" t="n">
        <v>150</v>
      </c>
      <c r="J2513" s="54" t="s">
        <v>1035</v>
      </c>
      <c r="K2513" s="0"/>
      <c r="L2513" s="0"/>
    </row>
    <row r="2514" customFormat="false" ht="12.8" hidden="false" customHeight="false" outlineLevel="0" collapsed="false">
      <c r="G2514" s="25" t="n">
        <v>44704</v>
      </c>
      <c r="H2514" s="48" t="s">
        <v>26</v>
      </c>
      <c r="I2514" s="5" t="n">
        <v>-760</v>
      </c>
      <c r="J2514" s="0" t="s">
        <v>56</v>
      </c>
      <c r="K2514" s="5"/>
      <c r="L2514" s="0"/>
      <c r="M2514" s="0"/>
      <c r="N2514" s="0"/>
    </row>
    <row r="2515" customFormat="false" ht="12.8" hidden="false" customHeight="false" outlineLevel="0" collapsed="false">
      <c r="G2515" s="25" t="n">
        <v>44704</v>
      </c>
      <c r="H2515" s="52" t="s">
        <v>14</v>
      </c>
      <c r="I2515" s="5" t="n">
        <v>760</v>
      </c>
      <c r="J2515" s="0" t="s">
        <v>56</v>
      </c>
      <c r="K2515" s="5"/>
      <c r="L2515" s="0"/>
      <c r="M2515" s="0"/>
      <c r="N2515" s="0"/>
      <c r="O2515" s="0"/>
      <c r="P2515" s="0"/>
      <c r="Q2515" s="0"/>
    </row>
    <row r="2516" customFormat="false" ht="12.8" hidden="false" customHeight="false" outlineLevel="0" collapsed="false">
      <c r="G2516" s="25" t="n">
        <v>44704</v>
      </c>
      <c r="H2516" s="52" t="s">
        <v>14</v>
      </c>
      <c r="I2516" s="5" t="n">
        <v>2.89</v>
      </c>
      <c r="J2516" s="0" t="s">
        <v>40</v>
      </c>
      <c r="K2516" s="5"/>
      <c r="L2516" s="0"/>
      <c r="M2516" s="0"/>
      <c r="N2516" s="0"/>
      <c r="O2516" s="0"/>
      <c r="P2516" s="0"/>
      <c r="Q2516" s="0"/>
    </row>
    <row r="2517" customFormat="false" ht="12.8" hidden="false" customHeight="false" outlineLevel="0" collapsed="false">
      <c r="G2517" s="25" t="n">
        <v>44705</v>
      </c>
      <c r="H2517" s="43" t="s">
        <v>23</v>
      </c>
      <c r="I2517" s="5" t="n">
        <v>-74.97</v>
      </c>
      <c r="J2517" s="0" t="s">
        <v>37</v>
      </c>
      <c r="K2517" s="0"/>
      <c r="L2517" s="0"/>
      <c r="M2517" s="0"/>
      <c r="N2517" s="0"/>
      <c r="O2517" s="0"/>
      <c r="P2517" s="0"/>
      <c r="Q2517" s="0"/>
    </row>
    <row r="2518" customFormat="false" ht="12.8" hidden="false" customHeight="false" outlineLevel="0" collapsed="false">
      <c r="G2518" s="25" t="n">
        <v>44706</v>
      </c>
      <c r="H2518" s="32" t="s">
        <v>15</v>
      </c>
      <c r="I2518" s="5" t="n">
        <v>-150</v>
      </c>
      <c r="J2518" s="54" t="s">
        <v>1036</v>
      </c>
      <c r="K2518" s="5"/>
      <c r="L2518" s="0"/>
      <c r="M2518" s="0"/>
      <c r="N2518" s="0"/>
      <c r="O2518" s="0"/>
      <c r="P2518" s="0"/>
      <c r="Q2518" s="0"/>
    </row>
    <row r="2519" customFormat="false" ht="12.8" hidden="false" customHeight="false" outlineLevel="0" collapsed="false">
      <c r="G2519" s="25" t="n">
        <v>44706</v>
      </c>
      <c r="H2519" s="43" t="s">
        <v>23</v>
      </c>
      <c r="I2519" s="5" t="n">
        <v>-75.15</v>
      </c>
      <c r="J2519" s="0" t="s">
        <v>37</v>
      </c>
      <c r="K2519" s="0"/>
      <c r="L2519" s="0"/>
      <c r="M2519" s="0"/>
    </row>
    <row r="2520" customFormat="false" ht="12.8" hidden="false" customHeight="false" outlineLevel="0" collapsed="false">
      <c r="G2520" s="25" t="n">
        <v>44706</v>
      </c>
      <c r="H2520" s="43" t="s">
        <v>23</v>
      </c>
      <c r="I2520" s="5" t="n">
        <v>-47.77</v>
      </c>
      <c r="J2520" s="0" t="s">
        <v>37</v>
      </c>
      <c r="K2520" s="0"/>
      <c r="L2520" s="0"/>
    </row>
    <row r="2521" customFormat="false" ht="12.8" hidden="false" customHeight="false" outlineLevel="0" collapsed="false">
      <c r="G2521" s="25" t="n">
        <v>44707</v>
      </c>
      <c r="H2521" s="43" t="s">
        <v>23</v>
      </c>
      <c r="I2521" s="5" t="n">
        <v>-74.98</v>
      </c>
      <c r="J2521" s="0" t="s">
        <v>37</v>
      </c>
      <c r="K2521" s="0"/>
      <c r="L2521" s="0"/>
    </row>
    <row r="2522" customFormat="false" ht="12.8" hidden="false" customHeight="false" outlineLevel="0" collapsed="false">
      <c r="G2522" s="25" t="n">
        <v>44707</v>
      </c>
      <c r="H2522" s="43" t="s">
        <v>23</v>
      </c>
      <c r="I2522" s="5" t="n">
        <v>-29.79</v>
      </c>
      <c r="J2522" s="0" t="s">
        <v>37</v>
      </c>
      <c r="K2522" s="0"/>
      <c r="L2522" s="0"/>
    </row>
    <row r="2523" customFormat="false" ht="12.8" hidden="false" customHeight="false" outlineLevel="0" collapsed="false">
      <c r="G2523" s="25" t="n">
        <v>44708</v>
      </c>
      <c r="H2523" s="43" t="s">
        <v>23</v>
      </c>
      <c r="I2523" s="5" t="n">
        <v>-74.84</v>
      </c>
      <c r="J2523" s="0" t="s">
        <v>37</v>
      </c>
      <c r="K2523" s="0"/>
      <c r="L2523" s="0"/>
    </row>
    <row r="2524" customFormat="false" ht="12.8" hidden="false" customHeight="false" outlineLevel="0" collapsed="false">
      <c r="G2524" s="25" t="n">
        <v>44708</v>
      </c>
      <c r="H2524" s="43" t="s">
        <v>23</v>
      </c>
      <c r="I2524" s="5" t="n">
        <v>-36.43</v>
      </c>
      <c r="J2524" s="0" t="s">
        <v>37</v>
      </c>
      <c r="K2524" s="0"/>
      <c r="L2524" s="0"/>
    </row>
    <row r="2525" customFormat="false" ht="12.8" hidden="false" customHeight="false" outlineLevel="0" collapsed="false">
      <c r="G2525" s="25" t="n">
        <v>44709</v>
      </c>
      <c r="H2525" s="48" t="s">
        <v>26</v>
      </c>
      <c r="I2525" s="5" t="n">
        <v>-50</v>
      </c>
      <c r="J2525" s="55" t="s">
        <v>1018</v>
      </c>
      <c r="K2525" s="0"/>
      <c r="L2525" s="0"/>
    </row>
    <row r="2526" customFormat="false" ht="12.8" hidden="false" customHeight="false" outlineLevel="0" collapsed="false">
      <c r="G2526" s="25" t="n">
        <v>44709</v>
      </c>
      <c r="H2526" s="52" t="s">
        <v>14</v>
      </c>
      <c r="I2526" s="5" t="n">
        <v>50</v>
      </c>
      <c r="J2526" s="55" t="s">
        <v>1018</v>
      </c>
      <c r="K2526" s="0"/>
      <c r="L2526" s="0"/>
    </row>
    <row r="2527" customFormat="false" ht="12.8" hidden="false" customHeight="false" outlineLevel="0" collapsed="false">
      <c r="G2527" s="25" t="n">
        <v>44709</v>
      </c>
      <c r="H2527" s="43" t="s">
        <v>23</v>
      </c>
      <c r="I2527" s="5" t="n">
        <v>-96.29</v>
      </c>
      <c r="J2527" s="0" t="s">
        <v>37</v>
      </c>
      <c r="K2527" s="0"/>
      <c r="L2527" s="0"/>
    </row>
    <row r="2528" customFormat="false" ht="12.8" hidden="false" customHeight="false" outlineLevel="0" collapsed="false">
      <c r="G2528" s="25" t="n">
        <v>44709</v>
      </c>
      <c r="H2528" s="43" t="s">
        <v>23</v>
      </c>
      <c r="I2528" s="5" t="n">
        <v>-6.98</v>
      </c>
      <c r="J2528" s="0" t="s">
        <v>37</v>
      </c>
      <c r="K2528" s="0"/>
      <c r="L2528" s="0"/>
    </row>
    <row r="2529" customFormat="false" ht="12.8" hidden="false" customHeight="false" outlineLevel="0" collapsed="false">
      <c r="G2529" s="25" t="n">
        <v>44710</v>
      </c>
      <c r="H2529" s="26" t="s">
        <v>10</v>
      </c>
      <c r="I2529" s="5" t="n">
        <v>-75</v>
      </c>
      <c r="J2529" s="54" t="s">
        <v>38</v>
      </c>
      <c r="K2529" s="0"/>
      <c r="L2529" s="0"/>
    </row>
    <row r="2530" customFormat="false" ht="12.8" hidden="false" customHeight="false" outlineLevel="0" collapsed="false">
      <c r="G2530" s="25" t="n">
        <v>44710</v>
      </c>
      <c r="H2530" s="32" t="s">
        <v>15</v>
      </c>
      <c r="I2530" s="5" t="n">
        <v>75</v>
      </c>
      <c r="J2530" s="54" t="s">
        <v>38</v>
      </c>
      <c r="K2530" s="0"/>
      <c r="L2530" s="0"/>
    </row>
    <row r="2531" customFormat="false" ht="12.8" hidden="false" customHeight="false" outlineLevel="0" collapsed="false">
      <c r="G2531" s="25" t="n">
        <v>44710</v>
      </c>
      <c r="H2531" s="32" t="s">
        <v>15</v>
      </c>
      <c r="I2531" s="5" t="n">
        <v>-48.37</v>
      </c>
      <c r="J2531" s="54" t="s">
        <v>37</v>
      </c>
      <c r="K2531" s="0"/>
      <c r="L2531" s="5"/>
    </row>
    <row r="2532" customFormat="false" ht="12.8" hidden="false" customHeight="false" outlineLevel="0" collapsed="false">
      <c r="G2532" s="25" t="n">
        <v>44711</v>
      </c>
      <c r="H2532" s="26" t="s">
        <v>10</v>
      </c>
      <c r="I2532" s="5" t="n">
        <v>-48</v>
      </c>
      <c r="J2532" s="54" t="s">
        <v>38</v>
      </c>
      <c r="K2532" s="0"/>
      <c r="L2532" s="5"/>
    </row>
    <row r="2533" customFormat="false" ht="12.8" hidden="false" customHeight="false" outlineLevel="0" collapsed="false">
      <c r="G2533" s="25" t="n">
        <v>44711</v>
      </c>
      <c r="H2533" s="32" t="s">
        <v>15</v>
      </c>
      <c r="I2533" s="5" t="n">
        <v>48</v>
      </c>
      <c r="J2533" s="54" t="s">
        <v>38</v>
      </c>
      <c r="K2533" s="0"/>
      <c r="L2533" s="5"/>
    </row>
    <row r="2534" customFormat="false" ht="12.8" hidden="false" customHeight="false" outlineLevel="0" collapsed="false">
      <c r="G2534" s="25" t="n">
        <v>44711</v>
      </c>
      <c r="H2534" s="32" t="s">
        <v>15</v>
      </c>
      <c r="I2534" s="5" t="n">
        <v>-53.4</v>
      </c>
      <c r="J2534" s="54" t="s">
        <v>37</v>
      </c>
      <c r="K2534" s="0"/>
      <c r="L2534" s="5"/>
    </row>
    <row r="2535" customFormat="false" ht="12.8" hidden="false" customHeight="false" outlineLevel="0" collapsed="false">
      <c r="G2535" s="25" t="n">
        <v>44711</v>
      </c>
      <c r="H2535" s="43" t="s">
        <v>23</v>
      </c>
      <c r="I2535" s="5" t="n">
        <v>250</v>
      </c>
      <c r="J2535" s="0" t="s">
        <v>1037</v>
      </c>
      <c r="K2535" s="0"/>
      <c r="L2535" s="0"/>
    </row>
    <row r="2536" customFormat="false" ht="12.8" hidden="false" customHeight="false" outlineLevel="0" collapsed="false">
      <c r="G2536" s="25" t="n">
        <v>44711</v>
      </c>
      <c r="H2536" s="43" t="s">
        <v>23</v>
      </c>
      <c r="I2536" s="5" t="n">
        <v>-5</v>
      </c>
      <c r="J2536" s="0" t="s">
        <v>944</v>
      </c>
      <c r="K2536" s="0"/>
      <c r="L2536" s="0"/>
    </row>
    <row r="2537" customFormat="false" ht="12.8" hidden="false" customHeight="false" outlineLevel="0" collapsed="false">
      <c r="G2537" s="25" t="n">
        <v>44712</v>
      </c>
      <c r="H2537" s="26" t="s">
        <v>10</v>
      </c>
      <c r="I2537" s="5" t="n">
        <v>-273</v>
      </c>
      <c r="J2537" s="54" t="s">
        <v>38</v>
      </c>
      <c r="K2537" s="0"/>
      <c r="L2537" s="0"/>
    </row>
    <row r="2538" customFormat="false" ht="12.8" hidden="false" customHeight="false" outlineLevel="0" collapsed="false">
      <c r="G2538" s="25" t="n">
        <v>44712</v>
      </c>
      <c r="H2538" s="32" t="s">
        <v>15</v>
      </c>
      <c r="I2538" s="5" t="n">
        <v>273</v>
      </c>
      <c r="J2538" s="54" t="s">
        <v>38</v>
      </c>
      <c r="K2538" s="0"/>
      <c r="L2538" s="0"/>
    </row>
    <row r="2539" customFormat="false" ht="12.8" hidden="false" customHeight="false" outlineLevel="0" collapsed="false">
      <c r="G2539" s="25" t="n">
        <v>44712</v>
      </c>
      <c r="H2539" s="32" t="s">
        <v>15</v>
      </c>
      <c r="I2539" s="5" t="n">
        <v>-273</v>
      </c>
      <c r="J2539" s="0" t="s">
        <v>38</v>
      </c>
      <c r="K2539" s="0"/>
      <c r="L2539" s="0"/>
    </row>
    <row r="2540" customFormat="false" ht="12.8" hidden="false" customHeight="false" outlineLevel="0" collapsed="false">
      <c r="G2540" s="25" t="n">
        <v>44712</v>
      </c>
      <c r="H2540" s="48" t="s">
        <v>26</v>
      </c>
      <c r="I2540" s="5" t="n">
        <v>273</v>
      </c>
      <c r="J2540" s="0" t="s">
        <v>38</v>
      </c>
      <c r="K2540" s="0"/>
      <c r="L2540" s="0"/>
    </row>
    <row r="2541" customFormat="false" ht="12.8" hidden="false" customHeight="false" outlineLevel="0" collapsed="false">
      <c r="G2541" s="25" t="n">
        <v>44712</v>
      </c>
      <c r="H2541" s="43" t="s">
        <v>23</v>
      </c>
      <c r="I2541" s="5" t="n">
        <v>-5</v>
      </c>
      <c r="J2541" s="0" t="s">
        <v>82</v>
      </c>
      <c r="K2541" s="0"/>
      <c r="L2541" s="0"/>
    </row>
    <row r="2542" customFormat="false" ht="12.8" hidden="false" customHeight="false" outlineLevel="0" collapsed="false">
      <c r="G2542" s="25" t="n">
        <v>44712</v>
      </c>
      <c r="H2542" s="26" t="s">
        <v>10</v>
      </c>
      <c r="I2542" s="5" t="n">
        <v>-54</v>
      </c>
      <c r="J2542" s="54" t="s">
        <v>38</v>
      </c>
      <c r="K2542" s="0"/>
      <c r="L2542" s="0"/>
    </row>
    <row r="2543" customFormat="false" ht="12.8" hidden="false" customHeight="false" outlineLevel="0" collapsed="false">
      <c r="G2543" s="25" t="n">
        <v>44712</v>
      </c>
      <c r="H2543" s="32" t="s">
        <v>15</v>
      </c>
      <c r="I2543" s="5" t="n">
        <v>54</v>
      </c>
      <c r="J2543" s="54" t="s">
        <v>38</v>
      </c>
      <c r="K2543" s="0"/>
      <c r="L2543" s="0"/>
    </row>
    <row r="2544" customFormat="false" ht="12.8" hidden="false" customHeight="false" outlineLevel="0" collapsed="false">
      <c r="G2544" s="25" t="n">
        <v>44712</v>
      </c>
      <c r="H2544" s="32" t="s">
        <v>15</v>
      </c>
      <c r="I2544" s="5" t="n">
        <v>-49.75</v>
      </c>
      <c r="J2544" s="54" t="s">
        <v>37</v>
      </c>
      <c r="K2544" s="0"/>
      <c r="L2544" s="0"/>
    </row>
    <row r="2545" customFormat="false" ht="12.8" hidden="false" customHeight="false" outlineLevel="0" collapsed="false">
      <c r="G2545" s="25" t="n">
        <v>44713</v>
      </c>
      <c r="H2545" s="48" t="s">
        <v>26</v>
      </c>
      <c r="I2545" s="5" t="n">
        <v>-15</v>
      </c>
      <c r="J2545" s="0" t="s">
        <v>1038</v>
      </c>
      <c r="K2545" s="0"/>
      <c r="L2545" s="0"/>
      <c r="M2545" s="0"/>
    </row>
    <row r="2546" customFormat="false" ht="12.8" hidden="false" customHeight="false" outlineLevel="0" collapsed="false">
      <c r="G2546" s="25" t="n">
        <v>44713</v>
      </c>
      <c r="H2546" s="52" t="s">
        <v>14</v>
      </c>
      <c r="I2546" s="5" t="n">
        <v>-1732</v>
      </c>
      <c r="J2546" s="10" t="s">
        <v>66</v>
      </c>
      <c r="K2546" s="0"/>
      <c r="L2546" s="0"/>
      <c r="M2546" s="0"/>
    </row>
    <row r="2547" customFormat="false" ht="12.8" hidden="false" customHeight="false" outlineLevel="0" collapsed="false">
      <c r="G2547" s="25" t="n">
        <v>44713</v>
      </c>
      <c r="H2547" s="48" t="s">
        <v>26</v>
      </c>
      <c r="I2547" s="5" t="n">
        <v>1732</v>
      </c>
      <c r="J2547" s="10" t="s">
        <v>66</v>
      </c>
      <c r="K2547" s="0"/>
      <c r="L2547" s="0"/>
      <c r="M2547" s="0"/>
    </row>
    <row r="2548" customFormat="false" ht="12.8" hidden="false" customHeight="false" outlineLevel="0" collapsed="false">
      <c r="G2548" s="25" t="n">
        <v>44713</v>
      </c>
      <c r="H2548" s="52" t="s">
        <v>14</v>
      </c>
      <c r="I2548" s="5" t="n">
        <v>1.26</v>
      </c>
      <c r="J2548" s="10" t="s">
        <v>40</v>
      </c>
      <c r="K2548" s="0"/>
      <c r="L2548" s="0"/>
      <c r="M2548" s="0"/>
    </row>
    <row r="2549" customFormat="false" ht="12.8" hidden="false" customHeight="false" outlineLevel="0" collapsed="false">
      <c r="G2549" s="25" t="n">
        <v>44713</v>
      </c>
      <c r="H2549" s="43" t="s">
        <v>23</v>
      </c>
      <c r="I2549" s="5" t="n">
        <v>-52.27</v>
      </c>
      <c r="J2549" s="54" t="s">
        <v>37</v>
      </c>
      <c r="K2549" s="0"/>
      <c r="L2549" s="0"/>
      <c r="M2549" s="0"/>
    </row>
    <row r="2550" customFormat="false" ht="12.8" hidden="false" customHeight="false" outlineLevel="0" collapsed="false">
      <c r="G2550" s="25" t="n">
        <v>44714</v>
      </c>
      <c r="H2550" s="48" t="s">
        <v>26</v>
      </c>
      <c r="I2550" s="5" t="n">
        <v>-2000</v>
      </c>
      <c r="J2550" s="10" t="s">
        <v>146</v>
      </c>
      <c r="K2550" s="5"/>
      <c r="L2550" s="0"/>
      <c r="M2550" s="0"/>
    </row>
    <row r="2551" customFormat="false" ht="12.8" hidden="false" customHeight="false" outlineLevel="0" collapsed="false">
      <c r="G2551" s="25" t="n">
        <v>44714</v>
      </c>
      <c r="H2551" s="48" t="s">
        <v>26</v>
      </c>
      <c r="I2551" s="5" t="n">
        <v>-3</v>
      </c>
      <c r="J2551" s="10" t="s">
        <v>932</v>
      </c>
      <c r="K2551" s="0"/>
      <c r="L2551" s="0"/>
      <c r="M2551" s="0"/>
    </row>
    <row r="2552" customFormat="false" ht="12.8" hidden="false" customHeight="false" outlineLevel="0" collapsed="false">
      <c r="G2552" s="25" t="n">
        <v>44714</v>
      </c>
      <c r="H2552" s="32" t="s">
        <v>15</v>
      </c>
      <c r="I2552" s="5" t="n">
        <v>2000</v>
      </c>
      <c r="J2552" s="10" t="s">
        <v>38</v>
      </c>
      <c r="K2552" s="0"/>
      <c r="L2552" s="0"/>
      <c r="M2552" s="0"/>
    </row>
    <row r="2553" customFormat="false" ht="12.8" hidden="false" customHeight="false" outlineLevel="0" collapsed="false">
      <c r="G2553" s="25" t="n">
        <v>44714</v>
      </c>
      <c r="H2553" s="26" t="s">
        <v>10</v>
      </c>
      <c r="I2553" s="5" t="n">
        <v>0.64</v>
      </c>
      <c r="J2553" s="0" t="s">
        <v>40</v>
      </c>
      <c r="K2553" s="0"/>
      <c r="L2553" s="0"/>
      <c r="M2553" s="0"/>
    </row>
    <row r="2554" customFormat="false" ht="12.8" hidden="false" customHeight="false" outlineLevel="0" collapsed="false">
      <c r="G2554" s="25" t="n">
        <v>44714</v>
      </c>
      <c r="H2554" s="43" t="s">
        <v>23</v>
      </c>
      <c r="I2554" s="5" t="n">
        <v>-52.8</v>
      </c>
      <c r="J2554" s="54" t="s">
        <v>37</v>
      </c>
      <c r="K2554" s="0"/>
      <c r="L2554" s="0"/>
      <c r="M2554" s="0"/>
    </row>
    <row r="2555" customFormat="false" ht="12.8" hidden="false" customHeight="false" outlineLevel="0" collapsed="false">
      <c r="G2555" s="25" t="n">
        <v>44714</v>
      </c>
      <c r="H2555" s="43" t="s">
        <v>23</v>
      </c>
      <c r="I2555" s="5" t="n">
        <v>-28.58</v>
      </c>
      <c r="J2555" s="54" t="s">
        <v>37</v>
      </c>
      <c r="K2555" s="0"/>
      <c r="L2555" s="0"/>
    </row>
    <row r="2556" customFormat="false" ht="12.8" hidden="false" customHeight="false" outlineLevel="0" collapsed="false">
      <c r="G2556" s="25"/>
      <c r="H2556" s="0"/>
      <c r="I2556" s="0"/>
      <c r="J2556" s="0"/>
      <c r="K2556" s="0"/>
      <c r="L2556" s="0"/>
    </row>
    <row r="2557" customFormat="false" ht="12.8" hidden="false" customHeight="false" outlineLevel="0" collapsed="false">
      <c r="G2557" s="25"/>
      <c r="H2557" s="0"/>
      <c r="I2557" s="0"/>
      <c r="J2557" s="0"/>
      <c r="K2557" s="0"/>
      <c r="L2557" s="0"/>
    </row>
    <row r="2558" customFormat="false" ht="12.8" hidden="false" customHeight="false" outlineLevel="0" collapsed="false">
      <c r="G2558" s="25"/>
      <c r="H2558" s="0"/>
      <c r="I2558" s="0"/>
      <c r="J2558" s="0"/>
      <c r="K2558" s="0"/>
      <c r="L2558" s="0"/>
    </row>
    <row r="2559" customFormat="false" ht="12.8" hidden="false" customHeight="false" outlineLevel="0" collapsed="false">
      <c r="G2559" s="25"/>
      <c r="H2559" s="475"/>
      <c r="J2559" s="462"/>
    </row>
    <row r="2560" customFormat="false" ht="12.8" hidden="false" customHeight="false" outlineLevel="0" collapsed="false">
      <c r="G2560" s="25"/>
      <c r="H2560" s="475"/>
    </row>
    <row r="2561" customFormat="false" ht="12.8" hidden="false" customHeight="false" outlineLevel="0" collapsed="false">
      <c r="G2561" s="25"/>
      <c r="H2561" s="475"/>
      <c r="J2561" s="462"/>
    </row>
    <row r="2562" customFormat="false" ht="12.8" hidden="false" customHeight="false" outlineLevel="0" collapsed="false">
      <c r="G2562" s="25"/>
      <c r="H2562" s="475"/>
      <c r="J2562" s="462"/>
    </row>
    <row r="2563" customFormat="false" ht="12.8" hidden="false" customHeight="false" outlineLevel="0" collapsed="false">
      <c r="G2563" s="25"/>
      <c r="H2563" s="475"/>
      <c r="J2563" s="462"/>
    </row>
    <row r="2564" customFormat="false" ht="12.8" hidden="false" customHeight="false" outlineLevel="0" collapsed="false">
      <c r="G2564" s="25"/>
      <c r="H2564" s="475"/>
      <c r="J2564" s="462"/>
    </row>
    <row r="2565" customFormat="false" ht="12.8" hidden="false" customHeight="false" outlineLevel="0" collapsed="false">
      <c r="G2565" s="25"/>
      <c r="H2565" s="475"/>
      <c r="J2565" s="462"/>
    </row>
    <row r="2566" customFormat="false" ht="12.8" hidden="false" customHeight="false" outlineLevel="0" collapsed="false">
      <c r="G2566" s="25"/>
      <c r="H2566" s="475"/>
      <c r="J2566" s="462"/>
    </row>
    <row r="2567" customFormat="false" ht="12.8" hidden="false" customHeight="false" outlineLevel="0" collapsed="false">
      <c r="G2567" s="25"/>
      <c r="H2567" s="475"/>
      <c r="J2567" s="462"/>
    </row>
    <row r="2568" customFormat="false" ht="12.8" hidden="false" customHeight="false" outlineLevel="0" collapsed="false">
      <c r="G2568" s="25"/>
      <c r="H2568" s="475"/>
      <c r="J2568" s="462"/>
    </row>
    <row r="2569" customFormat="false" ht="12.8" hidden="false" customHeight="false" outlineLevel="0" collapsed="false">
      <c r="G2569" s="25"/>
      <c r="H2569" s="475"/>
      <c r="J2569" s="462"/>
    </row>
    <row r="2570" customFormat="false" ht="12.8" hidden="false" customHeight="false" outlineLevel="0" collapsed="false">
      <c r="G2570" s="25"/>
      <c r="H2570" s="475"/>
      <c r="J2570" s="462"/>
    </row>
    <row r="2571" customFormat="false" ht="12.8" hidden="false" customHeight="false" outlineLevel="0" collapsed="false">
      <c r="G2571" s="25"/>
      <c r="H2571" s="475"/>
      <c r="J2571" s="462"/>
    </row>
    <row r="2572" customFormat="false" ht="12.8" hidden="false" customHeight="false" outlineLevel="0" collapsed="false">
      <c r="G2572" s="25"/>
      <c r="H2572" s="475"/>
      <c r="J2572" s="462"/>
    </row>
    <row r="2573" customFormat="false" ht="12.8" hidden="false" customHeight="false" outlineLevel="0" collapsed="false">
      <c r="G2573" s="25"/>
      <c r="H2573" s="475"/>
      <c r="J2573" s="462"/>
    </row>
    <row r="2574" customFormat="false" ht="12.8" hidden="false" customHeight="false" outlineLevel="0" collapsed="false">
      <c r="G2574" s="25"/>
      <c r="H2574" s="475"/>
      <c r="J2574" s="462"/>
    </row>
    <row r="2575" customFormat="false" ht="12.8" hidden="false" customHeight="false" outlineLevel="0" collapsed="false">
      <c r="G2575" s="25"/>
      <c r="H2575" s="475"/>
      <c r="J2575" s="462"/>
    </row>
    <row r="2576" customFormat="false" ht="12.8" hidden="false" customHeight="false" outlineLevel="0" collapsed="false">
      <c r="G2576" s="25"/>
      <c r="H2576" s="475"/>
      <c r="J2576" s="462"/>
    </row>
    <row r="2577" customFormat="false" ht="12.8" hidden="false" customHeight="false" outlineLevel="0" collapsed="false">
      <c r="G2577" s="25"/>
      <c r="H2577" s="475"/>
      <c r="J2577" s="462"/>
    </row>
    <row r="2578" customFormat="false" ht="12.8" hidden="false" customHeight="false" outlineLevel="0" collapsed="false">
      <c r="G2578" s="25"/>
      <c r="H2578" s="475"/>
      <c r="J2578" s="462"/>
    </row>
    <row r="2579" customFormat="false" ht="12.8" hidden="false" customHeight="false" outlineLevel="0" collapsed="false">
      <c r="G2579" s="25"/>
      <c r="H2579" s="475"/>
      <c r="J2579" s="462"/>
    </row>
    <row r="2580" customFormat="false" ht="12.8" hidden="false" customHeight="false" outlineLevel="0" collapsed="false">
      <c r="G2580" s="25"/>
      <c r="H2580" s="475"/>
      <c r="J2580" s="462"/>
    </row>
    <row r="2581" customFormat="false" ht="12.8" hidden="false" customHeight="false" outlineLevel="0" collapsed="false">
      <c r="G2581" s="25"/>
      <c r="H2581" s="475"/>
      <c r="J2581" s="462"/>
    </row>
    <row r="2582" customFormat="false" ht="12.8" hidden="false" customHeight="false" outlineLevel="0" collapsed="false">
      <c r="G2582" s="25"/>
      <c r="H2582" s="475"/>
      <c r="J2582" s="462"/>
    </row>
    <row r="2583" customFormat="false" ht="12.8" hidden="false" customHeight="false" outlineLevel="0" collapsed="false">
      <c r="G2583" s="25"/>
      <c r="H2583" s="475"/>
      <c r="J2583" s="462"/>
    </row>
    <row r="2584" customFormat="false" ht="12.8" hidden="false" customHeight="false" outlineLevel="0" collapsed="false">
      <c r="G2584" s="25"/>
      <c r="H2584" s="475"/>
      <c r="J2584" s="462"/>
    </row>
    <row r="2585" customFormat="false" ht="12.8" hidden="false" customHeight="false" outlineLevel="0" collapsed="false">
      <c r="G2585" s="25"/>
      <c r="H2585" s="475"/>
      <c r="J2585" s="462"/>
    </row>
    <row r="2586" customFormat="false" ht="12.8" hidden="false" customHeight="false" outlineLevel="0" collapsed="false">
      <c r="G2586" s="25"/>
      <c r="H2586" s="475"/>
      <c r="J2586" s="462"/>
    </row>
    <row r="2587" customFormat="false" ht="12.8" hidden="false" customHeight="false" outlineLevel="0" collapsed="false">
      <c r="G2587" s="25"/>
      <c r="H2587" s="475"/>
      <c r="J2587" s="462"/>
    </row>
    <row r="2588" customFormat="false" ht="12.8" hidden="false" customHeight="false" outlineLevel="0" collapsed="false">
      <c r="G2588" s="25"/>
      <c r="H2588" s="475"/>
      <c r="J2588" s="462"/>
    </row>
    <row r="2589" customFormat="false" ht="12.8" hidden="false" customHeight="false" outlineLevel="0" collapsed="false">
      <c r="G2589" s="25"/>
      <c r="H2589" s="475"/>
      <c r="J2589" s="462"/>
    </row>
    <row r="2590" customFormat="false" ht="12.8" hidden="false" customHeight="false" outlineLevel="0" collapsed="false">
      <c r="G2590" s="25"/>
      <c r="H2590" s="475"/>
      <c r="J2590" s="462"/>
    </row>
    <row r="2591" customFormat="false" ht="12.8" hidden="false" customHeight="false" outlineLevel="0" collapsed="false">
      <c r="G2591" s="25"/>
      <c r="H2591" s="475"/>
      <c r="J2591" s="462"/>
    </row>
    <row r="2592" customFormat="false" ht="12.8" hidden="false" customHeight="false" outlineLevel="0" collapsed="false">
      <c r="G2592" s="25"/>
      <c r="H2592" s="475"/>
      <c r="J2592" s="462"/>
    </row>
    <row r="2593" customFormat="false" ht="12.8" hidden="false" customHeight="false" outlineLevel="0" collapsed="false">
      <c r="G2593" s="25"/>
      <c r="H2593" s="475"/>
      <c r="J2593" s="462"/>
    </row>
    <row r="2594" customFormat="false" ht="12.8" hidden="false" customHeight="false" outlineLevel="0" collapsed="false">
      <c r="G2594" s="25"/>
      <c r="H2594" s="475"/>
      <c r="J2594" s="462"/>
    </row>
    <row r="2595" customFormat="false" ht="12.8" hidden="false" customHeight="false" outlineLevel="0" collapsed="false">
      <c r="G2595" s="25"/>
      <c r="H2595" s="475"/>
      <c r="J2595" s="462"/>
    </row>
    <row r="2596" customFormat="false" ht="12.8" hidden="false" customHeight="false" outlineLevel="0" collapsed="false">
      <c r="G2596" s="25"/>
      <c r="H2596" s="475"/>
      <c r="J2596" s="462"/>
    </row>
    <row r="2597" customFormat="false" ht="12.8" hidden="false" customHeight="false" outlineLevel="0" collapsed="false">
      <c r="G2597" s="25"/>
      <c r="H2597" s="475"/>
      <c r="J2597" s="462"/>
    </row>
    <row r="2598" customFormat="false" ht="12.8" hidden="false" customHeight="false" outlineLevel="0" collapsed="false">
      <c r="G2598" s="25"/>
      <c r="H2598" s="475"/>
      <c r="J2598" s="462"/>
    </row>
    <row r="2599" customFormat="false" ht="12.8" hidden="false" customHeight="false" outlineLevel="0" collapsed="false">
      <c r="G2599" s="25"/>
      <c r="H2599" s="475"/>
      <c r="J2599" s="462"/>
    </row>
    <row r="2600" customFormat="false" ht="12.8" hidden="false" customHeight="false" outlineLevel="0" collapsed="false">
      <c r="G2600" s="25"/>
      <c r="H2600" s="475"/>
      <c r="J2600" s="462"/>
    </row>
    <row r="2601" customFormat="false" ht="12.8" hidden="false" customHeight="false" outlineLevel="0" collapsed="false">
      <c r="G2601" s="25"/>
      <c r="H2601" s="475"/>
      <c r="J2601" s="462"/>
    </row>
    <row r="2602" customFormat="false" ht="12.8" hidden="false" customHeight="false" outlineLevel="0" collapsed="false">
      <c r="G2602" s="25"/>
      <c r="H2602" s="475"/>
      <c r="J2602" s="462"/>
    </row>
    <row r="2603" customFormat="false" ht="12.8" hidden="false" customHeight="false" outlineLevel="0" collapsed="false">
      <c r="G2603" s="25"/>
      <c r="H2603" s="475"/>
      <c r="J2603" s="462"/>
    </row>
    <row r="2604" customFormat="false" ht="12.8" hidden="false" customHeight="false" outlineLevel="0" collapsed="false">
      <c r="G2604" s="25"/>
      <c r="H2604" s="475"/>
      <c r="J2604" s="462"/>
    </row>
    <row r="2605" customFormat="false" ht="12.8" hidden="false" customHeight="false" outlineLevel="0" collapsed="false">
      <c r="G2605" s="25"/>
      <c r="H2605" s="475"/>
      <c r="J2605" s="462"/>
    </row>
    <row r="2606" customFormat="false" ht="12.8" hidden="false" customHeight="false" outlineLevel="0" collapsed="false">
      <c r="G2606" s="25"/>
      <c r="H2606" s="475"/>
      <c r="J2606" s="462"/>
    </row>
    <row r="2607" customFormat="false" ht="12.8" hidden="false" customHeight="false" outlineLevel="0" collapsed="false">
      <c r="G2607" s="25"/>
      <c r="H2607" s="475"/>
      <c r="J2607" s="462"/>
    </row>
    <row r="2608" customFormat="false" ht="12.8" hidden="false" customHeight="false" outlineLevel="0" collapsed="false">
      <c r="G2608" s="25"/>
      <c r="H2608" s="475"/>
      <c r="J2608" s="462"/>
    </row>
    <row r="2609" customFormat="false" ht="12.8" hidden="false" customHeight="false" outlineLevel="0" collapsed="false">
      <c r="G2609" s="25"/>
      <c r="H2609" s="475"/>
      <c r="J2609" s="462"/>
    </row>
    <row r="2610" customFormat="false" ht="12.8" hidden="false" customHeight="false" outlineLevel="0" collapsed="false">
      <c r="G2610" s="25"/>
      <c r="H2610" s="475"/>
      <c r="J2610" s="462"/>
    </row>
    <row r="2611" customFormat="false" ht="12.8" hidden="false" customHeight="false" outlineLevel="0" collapsed="false">
      <c r="G2611" s="25"/>
      <c r="H2611" s="475"/>
      <c r="J2611" s="462"/>
    </row>
    <row r="2612" customFormat="false" ht="12.8" hidden="false" customHeight="false" outlineLevel="0" collapsed="false">
      <c r="G2612" s="25"/>
      <c r="H2612" s="475"/>
      <c r="J2612" s="462"/>
    </row>
    <row r="2613" customFormat="false" ht="12.8" hidden="false" customHeight="false" outlineLevel="0" collapsed="false">
      <c r="G2613" s="25"/>
      <c r="H2613" s="475"/>
      <c r="J2613" s="462"/>
    </row>
    <row r="2614" customFormat="false" ht="12.8" hidden="false" customHeight="false" outlineLevel="0" collapsed="false">
      <c r="G2614" s="25"/>
      <c r="H2614" s="475"/>
      <c r="J2614" s="462"/>
    </row>
    <row r="2615" customFormat="false" ht="12.8" hidden="false" customHeight="false" outlineLevel="0" collapsed="false">
      <c r="G2615" s="25"/>
      <c r="H2615" s="475"/>
      <c r="J2615" s="462"/>
    </row>
    <row r="2616" customFormat="false" ht="12.8" hidden="false" customHeight="false" outlineLevel="0" collapsed="false">
      <c r="G2616" s="25"/>
      <c r="H2616" s="475"/>
      <c r="J2616" s="462"/>
    </row>
    <row r="2617" customFormat="false" ht="12.8" hidden="false" customHeight="false" outlineLevel="0" collapsed="false">
      <c r="G2617" s="25"/>
      <c r="H2617" s="475"/>
      <c r="J2617" s="462"/>
    </row>
    <row r="2618" customFormat="false" ht="12.8" hidden="false" customHeight="false" outlineLevel="0" collapsed="false">
      <c r="G2618" s="25"/>
      <c r="H2618" s="475"/>
      <c r="J2618" s="462"/>
    </row>
    <row r="2619" customFormat="false" ht="12.8" hidden="false" customHeight="false" outlineLevel="0" collapsed="false">
      <c r="G2619" s="25"/>
      <c r="H2619" s="475"/>
      <c r="J2619" s="462"/>
    </row>
    <row r="2620" customFormat="false" ht="12.8" hidden="false" customHeight="false" outlineLevel="0" collapsed="false">
      <c r="G2620" s="25"/>
      <c r="H2620" s="475"/>
      <c r="J2620" s="462"/>
    </row>
    <row r="2621" customFormat="false" ht="12.8" hidden="false" customHeight="false" outlineLevel="0" collapsed="false">
      <c r="G2621" s="25"/>
      <c r="H2621" s="475"/>
      <c r="J2621" s="462"/>
    </row>
    <row r="2622" customFormat="false" ht="12.8" hidden="false" customHeight="false" outlineLevel="0" collapsed="false">
      <c r="G2622" s="25"/>
      <c r="H2622" s="475"/>
      <c r="J2622" s="462"/>
    </row>
    <row r="2623" customFormat="false" ht="12.8" hidden="false" customHeight="false" outlineLevel="0" collapsed="false">
      <c r="G2623" s="25"/>
      <c r="H2623" s="475"/>
      <c r="J2623" s="462"/>
    </row>
    <row r="2624" customFormat="false" ht="12.8" hidden="false" customHeight="false" outlineLevel="0" collapsed="false">
      <c r="G2624" s="25"/>
      <c r="H2624" s="475"/>
    </row>
    <row r="2625" customFormat="false" ht="12.8" hidden="false" customHeight="false" outlineLevel="0" collapsed="false">
      <c r="G2625" s="25"/>
      <c r="H2625" s="475"/>
      <c r="J2625" s="462"/>
    </row>
    <row r="2626" customFormat="false" ht="12.8" hidden="false" customHeight="false" outlineLevel="0" collapsed="false">
      <c r="G2626" s="25"/>
      <c r="H2626" s="475"/>
      <c r="J2626" s="462"/>
    </row>
    <row r="2627" customFormat="false" ht="12.8" hidden="false" customHeight="false" outlineLevel="0" collapsed="false">
      <c r="G2627" s="25"/>
      <c r="H2627" s="475"/>
      <c r="J2627" s="462"/>
    </row>
    <row r="2628" customFormat="false" ht="12.8" hidden="false" customHeight="false" outlineLevel="0" collapsed="false">
      <c r="G2628" s="25"/>
      <c r="H2628" s="475"/>
      <c r="J2628" s="462"/>
    </row>
    <row r="2629" customFormat="false" ht="12.8" hidden="false" customHeight="false" outlineLevel="0" collapsed="false">
      <c r="G2629" s="25"/>
      <c r="H2629" s="475"/>
      <c r="J2629" s="462"/>
    </row>
    <row r="2630" customFormat="false" ht="12.8" hidden="false" customHeight="false" outlineLevel="0" collapsed="false">
      <c r="G2630" s="25"/>
      <c r="H2630" s="475"/>
      <c r="J2630" s="462"/>
    </row>
    <row r="2631" customFormat="false" ht="12.8" hidden="false" customHeight="false" outlineLevel="0" collapsed="false">
      <c r="G2631" s="25"/>
      <c r="H2631" s="475"/>
      <c r="J2631" s="462"/>
    </row>
    <row r="2632" customFormat="false" ht="12.8" hidden="false" customHeight="false" outlineLevel="0" collapsed="false">
      <c r="G2632" s="25"/>
      <c r="H2632" s="475"/>
      <c r="J2632" s="462"/>
    </row>
    <row r="2633" customFormat="false" ht="12.8" hidden="false" customHeight="false" outlineLevel="0" collapsed="false">
      <c r="G2633" s="25"/>
      <c r="H2633" s="475"/>
      <c r="J2633" s="462"/>
    </row>
    <row r="2634" customFormat="false" ht="12.8" hidden="false" customHeight="false" outlineLevel="0" collapsed="false">
      <c r="G2634" s="25"/>
      <c r="H2634" s="475"/>
      <c r="J2634" s="462"/>
    </row>
    <row r="2635" customFormat="false" ht="12.8" hidden="false" customHeight="false" outlineLevel="0" collapsed="false">
      <c r="G2635" s="25"/>
      <c r="H2635" s="475"/>
      <c r="J2635" s="462"/>
    </row>
    <row r="2636" customFormat="false" ht="12.8" hidden="false" customHeight="false" outlineLevel="0" collapsed="false">
      <c r="G2636" s="25"/>
      <c r="H2636" s="475"/>
      <c r="J2636" s="462"/>
    </row>
    <row r="2637" customFormat="false" ht="12.8" hidden="false" customHeight="false" outlineLevel="0" collapsed="false">
      <c r="G2637" s="25"/>
      <c r="H2637" s="475"/>
      <c r="J2637" s="462"/>
    </row>
    <row r="2638" customFormat="false" ht="12.8" hidden="false" customHeight="false" outlineLevel="0" collapsed="false">
      <c r="G2638" s="25"/>
      <c r="H2638" s="475"/>
      <c r="J2638" s="462"/>
    </row>
    <row r="2639" customFormat="false" ht="12.8" hidden="false" customHeight="false" outlineLevel="0" collapsed="false">
      <c r="G2639" s="25"/>
      <c r="H2639" s="475"/>
      <c r="J2639" s="462"/>
    </row>
    <row r="2640" customFormat="false" ht="12.8" hidden="false" customHeight="false" outlineLevel="0" collapsed="false">
      <c r="G2640" s="25"/>
      <c r="H2640" s="475"/>
      <c r="J2640" s="462"/>
    </row>
    <row r="2641" customFormat="false" ht="12.8" hidden="false" customHeight="false" outlineLevel="0" collapsed="false">
      <c r="G2641" s="25"/>
      <c r="H2641" s="475"/>
    </row>
    <row r="2642" customFormat="false" ht="12.8" hidden="false" customHeight="false" outlineLevel="0" collapsed="false">
      <c r="G2642" s="25"/>
      <c r="H2642" s="475"/>
    </row>
    <row r="2643" customFormat="false" ht="12.8" hidden="false" customHeight="false" outlineLevel="0" collapsed="false">
      <c r="G2643" s="25"/>
      <c r="H2643" s="475"/>
    </row>
    <row r="2644" customFormat="false" ht="12.8" hidden="false" customHeight="false" outlineLevel="0" collapsed="false">
      <c r="G2644" s="25"/>
      <c r="H2644" s="475"/>
      <c r="J2644" s="462"/>
    </row>
    <row r="2645" customFormat="false" ht="12.8" hidden="false" customHeight="false" outlineLevel="0" collapsed="false">
      <c r="G2645" s="25"/>
      <c r="H2645" s="475"/>
      <c r="J2645" s="462"/>
    </row>
    <row r="2646" customFormat="false" ht="12.8" hidden="false" customHeight="false" outlineLevel="0" collapsed="false">
      <c r="G2646" s="25"/>
      <c r="H2646" s="475"/>
      <c r="J2646" s="462"/>
    </row>
    <row r="2647" customFormat="false" ht="12.8" hidden="false" customHeight="false" outlineLevel="0" collapsed="false">
      <c r="G2647" s="25"/>
      <c r="H2647" s="475"/>
      <c r="J2647" s="462"/>
    </row>
    <row r="2648" customFormat="false" ht="12.8" hidden="false" customHeight="false" outlineLevel="0" collapsed="false">
      <c r="G2648" s="25"/>
      <c r="H2648" s="475"/>
      <c r="J2648" s="462"/>
    </row>
    <row r="2649" customFormat="false" ht="12.8" hidden="false" customHeight="false" outlineLevel="0" collapsed="false">
      <c r="G2649" s="25"/>
      <c r="H2649" s="475"/>
      <c r="J2649" s="462"/>
    </row>
    <row r="2650" customFormat="false" ht="12.8" hidden="false" customHeight="false" outlineLevel="0" collapsed="false">
      <c r="G2650" s="25"/>
      <c r="H2650" s="475"/>
      <c r="J2650" s="462"/>
    </row>
    <row r="2651" customFormat="false" ht="12.8" hidden="false" customHeight="false" outlineLevel="0" collapsed="false">
      <c r="G2651" s="25"/>
      <c r="H2651" s="475"/>
      <c r="J2651" s="462"/>
    </row>
    <row r="2652" customFormat="false" ht="12.8" hidden="false" customHeight="false" outlineLevel="0" collapsed="false">
      <c r="G2652" s="25"/>
      <c r="H2652" s="475"/>
      <c r="J2652" s="462"/>
    </row>
    <row r="2653" customFormat="false" ht="12.8" hidden="false" customHeight="false" outlineLevel="0" collapsed="false">
      <c r="G2653" s="25"/>
      <c r="H2653" s="475"/>
      <c r="J2653" s="462"/>
    </row>
    <row r="2654" customFormat="false" ht="12.8" hidden="false" customHeight="false" outlineLevel="0" collapsed="false">
      <c r="G2654" s="25"/>
      <c r="H2654" s="475"/>
      <c r="J2654" s="462"/>
    </row>
    <row r="2655" customFormat="false" ht="12.8" hidden="false" customHeight="false" outlineLevel="0" collapsed="false">
      <c r="G2655" s="25"/>
      <c r="H2655" s="475"/>
    </row>
    <row r="2656" customFormat="false" ht="12.8" hidden="false" customHeight="false" outlineLevel="0" collapsed="false">
      <c r="G2656" s="25"/>
      <c r="H2656" s="475"/>
    </row>
    <row r="2657" customFormat="false" ht="12.8" hidden="false" customHeight="false" outlineLevel="0" collapsed="false">
      <c r="G2657" s="25"/>
      <c r="H2657" s="475"/>
    </row>
    <row r="2658" customFormat="false" ht="12.8" hidden="false" customHeight="false" outlineLevel="0" collapsed="false">
      <c r="G2658" s="25"/>
      <c r="H2658" s="475"/>
    </row>
    <row r="2659" customFormat="false" ht="12.8" hidden="false" customHeight="false" outlineLevel="0" collapsed="false">
      <c r="G2659" s="25"/>
      <c r="H2659" s="475"/>
    </row>
    <row r="2660" customFormat="false" ht="12.8" hidden="false" customHeight="false" outlineLevel="0" collapsed="false">
      <c r="G2660" s="25"/>
      <c r="H2660" s="475"/>
      <c r="J2660" s="462"/>
    </row>
    <row r="2661" customFormat="false" ht="12.8" hidden="false" customHeight="false" outlineLevel="0" collapsed="false">
      <c r="G2661" s="25"/>
      <c r="H2661" s="475"/>
      <c r="J2661" s="462"/>
    </row>
    <row r="2662" customFormat="false" ht="12.8" hidden="false" customHeight="false" outlineLevel="0" collapsed="false">
      <c r="G2662" s="25"/>
      <c r="H2662" s="475"/>
      <c r="J2662" s="462"/>
    </row>
    <row r="2663" customFormat="false" ht="12.8" hidden="false" customHeight="false" outlineLevel="0" collapsed="false">
      <c r="G2663" s="25"/>
      <c r="H2663" s="475"/>
      <c r="J2663" s="462"/>
    </row>
    <row r="2664" customFormat="false" ht="12.8" hidden="false" customHeight="false" outlineLevel="0" collapsed="false">
      <c r="G2664" s="25"/>
      <c r="H2664" s="475"/>
      <c r="J2664" s="462"/>
    </row>
    <row r="2665" customFormat="false" ht="12.8" hidden="false" customHeight="false" outlineLevel="0" collapsed="false">
      <c r="G2665" s="25"/>
      <c r="H2665" s="475"/>
      <c r="J2665" s="462"/>
    </row>
    <row r="2666" customFormat="false" ht="12.8" hidden="false" customHeight="false" outlineLevel="0" collapsed="false">
      <c r="G2666" s="25"/>
      <c r="H2666" s="475"/>
      <c r="J2666" s="462"/>
    </row>
    <row r="2667" customFormat="false" ht="12.8" hidden="false" customHeight="false" outlineLevel="0" collapsed="false">
      <c r="G2667" s="25"/>
      <c r="H2667" s="475"/>
      <c r="J2667" s="462"/>
    </row>
    <row r="2668" customFormat="false" ht="12.8" hidden="false" customHeight="false" outlineLevel="0" collapsed="false">
      <c r="G2668" s="25"/>
      <c r="H2668" s="475"/>
      <c r="J2668" s="462"/>
    </row>
    <row r="2669" customFormat="false" ht="12.8" hidden="false" customHeight="false" outlineLevel="0" collapsed="false">
      <c r="G2669" s="25"/>
      <c r="H2669" s="475"/>
      <c r="J2669" s="462"/>
    </row>
    <row r="2670" customFormat="false" ht="12.8" hidden="false" customHeight="false" outlineLevel="0" collapsed="false">
      <c r="G2670" s="25"/>
      <c r="H2670" s="475"/>
      <c r="J2670" s="462"/>
    </row>
    <row r="2671" customFormat="false" ht="12.8" hidden="false" customHeight="false" outlineLevel="0" collapsed="false">
      <c r="G2671" s="25"/>
      <c r="H2671" s="475"/>
      <c r="J2671" s="462"/>
    </row>
    <row r="2672" customFormat="false" ht="12.8" hidden="false" customHeight="false" outlineLevel="0" collapsed="false">
      <c r="G2672" s="25"/>
      <c r="H2672" s="475"/>
      <c r="J2672" s="462"/>
    </row>
    <row r="2673" customFormat="false" ht="12.8" hidden="false" customHeight="false" outlineLevel="0" collapsed="false">
      <c r="G2673" s="25"/>
      <c r="H2673" s="475"/>
      <c r="J2673" s="462"/>
    </row>
    <row r="2674" customFormat="false" ht="12.8" hidden="false" customHeight="false" outlineLevel="0" collapsed="false">
      <c r="G2674" s="25"/>
      <c r="H2674" s="475"/>
      <c r="J2674" s="462"/>
    </row>
    <row r="2675" customFormat="false" ht="12.8" hidden="false" customHeight="false" outlineLevel="0" collapsed="false">
      <c r="G2675" s="25"/>
      <c r="H2675" s="475"/>
      <c r="J2675" s="462"/>
    </row>
    <row r="2676" customFormat="false" ht="12.8" hidden="false" customHeight="false" outlineLevel="0" collapsed="false">
      <c r="G2676" s="25"/>
      <c r="H2676" s="475"/>
      <c r="J2676" s="462"/>
    </row>
    <row r="2677" customFormat="false" ht="12.8" hidden="false" customHeight="false" outlineLevel="0" collapsed="false">
      <c r="G2677" s="25"/>
      <c r="H2677" s="475"/>
      <c r="J2677" s="462"/>
    </row>
    <row r="2678" customFormat="false" ht="12.8" hidden="false" customHeight="false" outlineLevel="0" collapsed="false">
      <c r="G2678" s="25"/>
      <c r="H2678" s="475"/>
      <c r="J2678" s="462"/>
    </row>
    <row r="2679" customFormat="false" ht="12.8" hidden="false" customHeight="false" outlineLevel="0" collapsed="false">
      <c r="G2679" s="25"/>
      <c r="H2679" s="475"/>
      <c r="J2679" s="462"/>
    </row>
    <row r="2680" customFormat="false" ht="12.8" hidden="false" customHeight="false" outlineLevel="0" collapsed="false">
      <c r="G2680" s="25"/>
      <c r="H2680" s="475"/>
    </row>
    <row r="2681" customFormat="false" ht="12.8" hidden="false" customHeight="false" outlineLevel="0" collapsed="false">
      <c r="G2681" s="25"/>
      <c r="H2681" s="475"/>
    </row>
    <row r="2682" customFormat="false" ht="12.8" hidden="false" customHeight="false" outlineLevel="0" collapsed="false">
      <c r="G2682" s="25"/>
      <c r="H2682" s="475"/>
    </row>
    <row r="2683" customFormat="false" ht="12.8" hidden="false" customHeight="false" outlineLevel="0" collapsed="false">
      <c r="G2683" s="25"/>
      <c r="H2683" s="475"/>
    </row>
    <row r="2684" customFormat="false" ht="12.8" hidden="false" customHeight="false" outlineLevel="0" collapsed="false">
      <c r="G2684" s="25"/>
      <c r="H2684" s="475"/>
      <c r="J2684" s="462"/>
    </row>
    <row r="2685" customFormat="false" ht="12.8" hidden="false" customHeight="false" outlineLevel="0" collapsed="false">
      <c r="G2685" s="25"/>
      <c r="H2685" s="475"/>
      <c r="J2685" s="462"/>
    </row>
    <row r="2686" customFormat="false" ht="12.8" hidden="false" customHeight="false" outlineLevel="0" collapsed="false">
      <c r="G2686" s="25"/>
      <c r="H2686" s="475"/>
      <c r="J2686" s="462"/>
    </row>
    <row r="2687" customFormat="false" ht="12.8" hidden="false" customHeight="false" outlineLevel="0" collapsed="false">
      <c r="G2687" s="25"/>
      <c r="H2687" s="475"/>
      <c r="J2687" s="462"/>
    </row>
    <row r="2688" customFormat="false" ht="12.8" hidden="false" customHeight="false" outlineLevel="0" collapsed="false">
      <c r="G2688" s="25"/>
      <c r="H2688" s="475"/>
      <c r="J2688" s="462"/>
    </row>
    <row r="2689" customFormat="false" ht="12.8" hidden="false" customHeight="false" outlineLevel="0" collapsed="false">
      <c r="G2689" s="25"/>
      <c r="H2689" s="475"/>
      <c r="J2689" s="462"/>
    </row>
    <row r="2690" customFormat="false" ht="12.8" hidden="false" customHeight="false" outlineLevel="0" collapsed="false">
      <c r="G2690" s="25"/>
      <c r="H2690" s="475"/>
      <c r="J2690" s="462"/>
    </row>
    <row r="2691" customFormat="false" ht="12.8" hidden="false" customHeight="false" outlineLevel="0" collapsed="false">
      <c r="G2691" s="25"/>
      <c r="H2691" s="475"/>
      <c r="J2691" s="462"/>
    </row>
    <row r="2692" customFormat="false" ht="12.8" hidden="false" customHeight="false" outlineLevel="0" collapsed="false">
      <c r="G2692" s="25"/>
      <c r="H2692" s="475"/>
      <c r="J2692" s="462"/>
    </row>
    <row r="2693" customFormat="false" ht="12.8" hidden="false" customHeight="false" outlineLevel="0" collapsed="false">
      <c r="G2693" s="25"/>
      <c r="H2693" s="475"/>
      <c r="J2693" s="462"/>
    </row>
    <row r="2694" customFormat="false" ht="12.8" hidden="false" customHeight="false" outlineLevel="0" collapsed="false">
      <c r="G2694" s="25"/>
      <c r="H2694" s="475"/>
      <c r="J2694" s="462"/>
    </row>
    <row r="2695" customFormat="false" ht="12.8" hidden="false" customHeight="false" outlineLevel="0" collapsed="false">
      <c r="G2695" s="25"/>
      <c r="H2695" s="475"/>
      <c r="J2695" s="462"/>
    </row>
    <row r="2696" customFormat="false" ht="12.8" hidden="false" customHeight="false" outlineLevel="0" collapsed="false">
      <c r="G2696" s="25"/>
      <c r="H2696" s="475"/>
      <c r="J2696" s="462"/>
    </row>
    <row r="2697" customFormat="false" ht="12.8" hidden="false" customHeight="false" outlineLevel="0" collapsed="false">
      <c r="G2697" s="25"/>
      <c r="H2697" s="475"/>
      <c r="J2697" s="462"/>
    </row>
    <row r="2698" customFormat="false" ht="12.8" hidden="false" customHeight="false" outlineLevel="0" collapsed="false">
      <c r="G2698" s="25"/>
      <c r="H2698" s="475"/>
      <c r="J2698" s="462"/>
    </row>
    <row r="2699" customFormat="false" ht="12.8" hidden="false" customHeight="false" outlineLevel="0" collapsed="false">
      <c r="G2699" s="25"/>
      <c r="H2699" s="475"/>
      <c r="J2699" s="462"/>
    </row>
    <row r="2700" customFormat="false" ht="12.8" hidden="false" customHeight="false" outlineLevel="0" collapsed="false">
      <c r="G2700" s="25"/>
      <c r="H2700" s="475"/>
      <c r="J2700" s="462"/>
    </row>
    <row r="2701" customFormat="false" ht="12.8" hidden="false" customHeight="false" outlineLevel="0" collapsed="false">
      <c r="G2701" s="25"/>
      <c r="H2701" s="475"/>
      <c r="J2701" s="462"/>
    </row>
    <row r="2702" customFormat="false" ht="12.8" hidden="false" customHeight="false" outlineLevel="0" collapsed="false">
      <c r="G2702" s="25"/>
      <c r="H2702" s="475"/>
      <c r="J2702" s="462"/>
    </row>
    <row r="2703" customFormat="false" ht="12.8" hidden="false" customHeight="false" outlineLevel="0" collapsed="false">
      <c r="G2703" s="25"/>
      <c r="H2703" s="475"/>
      <c r="J2703" s="462"/>
    </row>
    <row r="2704" customFormat="false" ht="12.8" hidden="false" customHeight="false" outlineLevel="0" collapsed="false">
      <c r="G2704" s="25"/>
      <c r="H2704" s="475"/>
      <c r="J2704" s="462"/>
    </row>
    <row r="2705" customFormat="false" ht="12.8" hidden="false" customHeight="false" outlineLevel="0" collapsed="false">
      <c r="G2705" s="25"/>
      <c r="H2705" s="475"/>
      <c r="J2705" s="462"/>
    </row>
    <row r="2706" customFormat="false" ht="12.8" hidden="false" customHeight="false" outlineLevel="0" collapsed="false">
      <c r="G2706" s="25"/>
      <c r="H2706" s="475"/>
      <c r="J2706" s="462"/>
    </row>
    <row r="2707" customFormat="false" ht="12.8" hidden="false" customHeight="false" outlineLevel="0" collapsed="false">
      <c r="G2707" s="25"/>
      <c r="H2707" s="475"/>
      <c r="J2707" s="462"/>
    </row>
    <row r="2708" customFormat="false" ht="12.8" hidden="false" customHeight="false" outlineLevel="0" collapsed="false">
      <c r="G2708" s="25"/>
      <c r="H2708" s="475"/>
      <c r="J2708" s="462"/>
    </row>
    <row r="2709" customFormat="false" ht="12.8" hidden="false" customHeight="false" outlineLevel="0" collapsed="false">
      <c r="G2709" s="25"/>
      <c r="H2709" s="475"/>
      <c r="J2709" s="462"/>
    </row>
    <row r="2710" customFormat="false" ht="12.8" hidden="false" customHeight="false" outlineLevel="0" collapsed="false">
      <c r="G2710" s="25"/>
      <c r="H2710" s="475"/>
      <c r="J2710" s="462"/>
    </row>
    <row r="2711" customFormat="false" ht="12.8" hidden="false" customHeight="false" outlineLevel="0" collapsed="false">
      <c r="G2711" s="25"/>
      <c r="H2711" s="475"/>
      <c r="J2711" s="462"/>
    </row>
    <row r="2712" customFormat="false" ht="12.8" hidden="false" customHeight="false" outlineLevel="0" collapsed="false">
      <c r="G2712" s="25"/>
      <c r="H2712" s="475"/>
      <c r="J2712" s="462"/>
    </row>
    <row r="2713" customFormat="false" ht="12.8" hidden="false" customHeight="false" outlineLevel="0" collapsed="false">
      <c r="G2713" s="25"/>
      <c r="H2713" s="475"/>
      <c r="J2713" s="462"/>
    </row>
    <row r="2714" customFormat="false" ht="12.8" hidden="false" customHeight="false" outlineLevel="0" collapsed="false">
      <c r="G2714" s="25"/>
      <c r="H2714" s="475"/>
      <c r="J2714" s="462"/>
    </row>
    <row r="2715" customFormat="false" ht="12.8" hidden="false" customHeight="false" outlineLevel="0" collapsed="false">
      <c r="G2715" s="25"/>
      <c r="H2715" s="475"/>
      <c r="J2715" s="462"/>
    </row>
    <row r="2716" customFormat="false" ht="12.8" hidden="false" customHeight="false" outlineLevel="0" collapsed="false">
      <c r="G2716" s="25"/>
      <c r="H2716" s="475"/>
      <c r="J2716" s="462"/>
    </row>
    <row r="2717" customFormat="false" ht="12.8" hidden="false" customHeight="false" outlineLevel="0" collapsed="false">
      <c r="G2717" s="25"/>
      <c r="H2717" s="475"/>
      <c r="J2717" s="462"/>
    </row>
    <row r="2718" customFormat="false" ht="12.8" hidden="false" customHeight="false" outlineLevel="0" collapsed="false">
      <c r="G2718" s="25"/>
      <c r="H2718" s="475"/>
      <c r="J2718" s="462"/>
    </row>
    <row r="2719" customFormat="false" ht="12.8" hidden="false" customHeight="false" outlineLevel="0" collapsed="false">
      <c r="G2719" s="25"/>
      <c r="H2719" s="475"/>
      <c r="J2719" s="462"/>
    </row>
    <row r="2720" customFormat="false" ht="12.8" hidden="false" customHeight="false" outlineLevel="0" collapsed="false">
      <c r="G2720" s="25"/>
      <c r="H2720" s="475"/>
      <c r="J2720" s="462"/>
    </row>
    <row r="2721" customFormat="false" ht="12.8" hidden="false" customHeight="false" outlineLevel="0" collapsed="false">
      <c r="G2721" s="25"/>
      <c r="H2721" s="475"/>
      <c r="J2721" s="462"/>
    </row>
    <row r="2722" customFormat="false" ht="12.8" hidden="false" customHeight="false" outlineLevel="0" collapsed="false">
      <c r="G2722" s="25"/>
      <c r="H2722" s="475"/>
      <c r="J2722" s="462"/>
    </row>
    <row r="2723" customFormat="false" ht="12.8" hidden="false" customHeight="false" outlineLevel="0" collapsed="false">
      <c r="G2723" s="25"/>
      <c r="H2723" s="475"/>
      <c r="J2723" s="462"/>
    </row>
    <row r="2724" customFormat="false" ht="12.8" hidden="false" customHeight="false" outlineLevel="0" collapsed="false">
      <c r="G2724" s="25"/>
      <c r="H2724" s="475"/>
      <c r="J2724" s="462"/>
    </row>
    <row r="2725" customFormat="false" ht="12.8" hidden="false" customHeight="false" outlineLevel="0" collapsed="false">
      <c r="G2725" s="25"/>
      <c r="H2725" s="475"/>
      <c r="J2725" s="462"/>
    </row>
    <row r="2726" customFormat="false" ht="12.8" hidden="false" customHeight="false" outlineLevel="0" collapsed="false">
      <c r="G2726" s="25"/>
      <c r="H2726" s="475"/>
      <c r="J2726" s="462"/>
    </row>
    <row r="2727" customFormat="false" ht="12.8" hidden="false" customHeight="false" outlineLevel="0" collapsed="false">
      <c r="G2727" s="25"/>
      <c r="H2727" s="475"/>
      <c r="J2727" s="462"/>
    </row>
    <row r="2728" customFormat="false" ht="12.8" hidden="false" customHeight="false" outlineLevel="0" collapsed="false">
      <c r="G2728" s="25"/>
      <c r="H2728" s="475"/>
      <c r="J2728" s="462"/>
    </row>
    <row r="2729" customFormat="false" ht="12.8" hidden="false" customHeight="false" outlineLevel="0" collapsed="false">
      <c r="G2729" s="25"/>
      <c r="H2729" s="475"/>
      <c r="J2729" s="462"/>
    </row>
    <row r="2730" customFormat="false" ht="12.8" hidden="false" customHeight="false" outlineLevel="0" collapsed="false">
      <c r="G2730" s="25"/>
      <c r="H2730" s="475"/>
      <c r="J2730" s="462"/>
    </row>
    <row r="2731" customFormat="false" ht="12.8" hidden="false" customHeight="false" outlineLevel="0" collapsed="false">
      <c r="G2731" s="25"/>
      <c r="H2731" s="475"/>
      <c r="J2731" s="462"/>
    </row>
    <row r="2732" customFormat="false" ht="12.8" hidden="false" customHeight="false" outlineLevel="0" collapsed="false">
      <c r="G2732" s="25"/>
      <c r="H2732" s="475"/>
      <c r="J2732" s="462"/>
    </row>
    <row r="2733" customFormat="false" ht="12.8" hidden="false" customHeight="false" outlineLevel="0" collapsed="false">
      <c r="G2733" s="25"/>
      <c r="H2733" s="475"/>
      <c r="J2733" s="462"/>
    </row>
    <row r="2734" customFormat="false" ht="12.8" hidden="false" customHeight="false" outlineLevel="0" collapsed="false">
      <c r="G2734" s="25"/>
      <c r="H2734" s="475"/>
      <c r="J2734" s="462"/>
    </row>
    <row r="2735" customFormat="false" ht="12.8" hidden="false" customHeight="false" outlineLevel="0" collapsed="false">
      <c r="G2735" s="25"/>
      <c r="H2735" s="475"/>
      <c r="J2735" s="462"/>
    </row>
    <row r="2736" customFormat="false" ht="12.8" hidden="false" customHeight="false" outlineLevel="0" collapsed="false">
      <c r="G2736" s="25"/>
      <c r="H2736" s="475"/>
    </row>
    <row r="2737" customFormat="false" ht="12.8" hidden="false" customHeight="false" outlineLevel="0" collapsed="false">
      <c r="G2737" s="25"/>
      <c r="H2737" s="475"/>
    </row>
    <row r="2738" customFormat="false" ht="12.8" hidden="false" customHeight="false" outlineLevel="0" collapsed="false">
      <c r="G2738" s="25"/>
      <c r="H2738" s="475"/>
    </row>
    <row r="2739" customFormat="false" ht="12.8" hidden="false" customHeight="false" outlineLevel="0" collapsed="false">
      <c r="G2739" s="25"/>
      <c r="H2739" s="475"/>
      <c r="J2739" s="462"/>
    </row>
    <row r="2740" customFormat="false" ht="12.8" hidden="false" customHeight="false" outlineLevel="0" collapsed="false">
      <c r="G2740" s="25"/>
      <c r="H2740" s="475"/>
      <c r="J2740" s="462"/>
    </row>
    <row r="2741" customFormat="false" ht="12.8" hidden="false" customHeight="false" outlineLevel="0" collapsed="false">
      <c r="G2741" s="25"/>
      <c r="H2741" s="475"/>
      <c r="J2741" s="462"/>
    </row>
    <row r="2742" customFormat="false" ht="12.8" hidden="false" customHeight="false" outlineLevel="0" collapsed="false">
      <c r="G2742" s="25"/>
      <c r="H2742" s="475"/>
      <c r="J2742" s="462"/>
    </row>
    <row r="2743" customFormat="false" ht="12.8" hidden="false" customHeight="false" outlineLevel="0" collapsed="false">
      <c r="G2743" s="25"/>
      <c r="H2743" s="475"/>
    </row>
    <row r="2744" customFormat="false" ht="12.8" hidden="false" customHeight="false" outlineLevel="0" collapsed="false">
      <c r="G2744" s="25"/>
      <c r="H2744" s="475"/>
      <c r="J2744" s="462"/>
      <c r="K2744" s="7" t="s">
        <v>826</v>
      </c>
    </row>
    <row r="2745" customFormat="false" ht="12.8" hidden="false" customHeight="false" outlineLevel="0" collapsed="false">
      <c r="G2745" s="25"/>
      <c r="H2745" s="475"/>
    </row>
    <row r="2746" customFormat="false" ht="12.8" hidden="false" customHeight="false" outlineLevel="0" collapsed="false">
      <c r="G2746" s="25"/>
      <c r="H2746" s="475"/>
    </row>
    <row r="2747" customFormat="false" ht="12.8" hidden="false" customHeight="false" outlineLevel="0" collapsed="false">
      <c r="G2747" s="25"/>
      <c r="H2747" s="475"/>
      <c r="J2747" s="462"/>
    </row>
    <row r="2748" customFormat="false" ht="12.8" hidden="false" customHeight="false" outlineLevel="0" collapsed="false">
      <c r="G2748" s="25"/>
      <c r="H2748" s="475"/>
    </row>
    <row r="2749" customFormat="false" ht="12.8" hidden="false" customHeight="false" outlineLevel="0" collapsed="false">
      <c r="G2749" s="25"/>
      <c r="H2749" s="475"/>
      <c r="J2749" s="462"/>
    </row>
    <row r="2750" customFormat="false" ht="12.8" hidden="false" customHeight="false" outlineLevel="0" collapsed="false">
      <c r="G2750" s="25"/>
      <c r="H2750" s="475"/>
      <c r="J2750" s="462"/>
    </row>
    <row r="2751" customFormat="false" ht="12.8" hidden="false" customHeight="false" outlineLevel="0" collapsed="false">
      <c r="G2751" s="25"/>
      <c r="H2751" s="475"/>
      <c r="J2751" s="462"/>
    </row>
    <row r="2752" customFormat="false" ht="12.8" hidden="false" customHeight="false" outlineLevel="0" collapsed="false">
      <c r="G2752" s="25"/>
      <c r="H2752" s="475"/>
      <c r="J2752" s="462"/>
    </row>
    <row r="2753" customFormat="false" ht="12.8" hidden="false" customHeight="false" outlineLevel="0" collapsed="false">
      <c r="G2753" s="25"/>
      <c r="H2753" s="475"/>
      <c r="J2753" s="462"/>
    </row>
    <row r="2754" customFormat="false" ht="12.8" hidden="false" customHeight="false" outlineLevel="0" collapsed="false">
      <c r="G2754" s="25"/>
      <c r="H2754" s="475"/>
      <c r="J2754" s="462"/>
    </row>
    <row r="2755" customFormat="false" ht="12.8" hidden="false" customHeight="false" outlineLevel="0" collapsed="false">
      <c r="G2755" s="25"/>
      <c r="H2755" s="475"/>
      <c r="J2755" s="462"/>
    </row>
    <row r="2756" customFormat="false" ht="12.8" hidden="false" customHeight="false" outlineLevel="0" collapsed="false">
      <c r="G2756" s="25"/>
      <c r="H2756" s="475"/>
    </row>
    <row r="2757" customFormat="false" ht="12.8" hidden="false" customHeight="false" outlineLevel="0" collapsed="false">
      <c r="G2757" s="25"/>
      <c r="H2757" s="475"/>
      <c r="J2757" s="462"/>
    </row>
    <row r="2758" customFormat="false" ht="12.8" hidden="false" customHeight="false" outlineLevel="0" collapsed="false">
      <c r="G2758" s="25"/>
      <c r="H2758" s="475"/>
      <c r="J2758" s="462"/>
    </row>
    <row r="2759" customFormat="false" ht="12.8" hidden="false" customHeight="false" outlineLevel="0" collapsed="false">
      <c r="G2759" s="25"/>
      <c r="H2759" s="475"/>
      <c r="J2759" s="462"/>
    </row>
    <row r="2760" customFormat="false" ht="12.8" hidden="false" customHeight="false" outlineLevel="0" collapsed="false">
      <c r="G2760" s="25"/>
      <c r="H2760" s="475"/>
    </row>
    <row r="2761" customFormat="false" ht="12.8" hidden="false" customHeight="false" outlineLevel="0" collapsed="false">
      <c r="G2761" s="25"/>
      <c r="H2761" s="475"/>
    </row>
    <row r="2762" customFormat="false" ht="12.8" hidden="false" customHeight="false" outlineLevel="0" collapsed="false">
      <c r="G2762" s="25"/>
      <c r="H2762" s="475"/>
    </row>
    <row r="2763" customFormat="false" ht="12.8" hidden="false" customHeight="false" outlineLevel="0" collapsed="false">
      <c r="G2763" s="25"/>
      <c r="H2763" s="475"/>
    </row>
    <row r="2764" customFormat="false" ht="12.8" hidden="false" customHeight="false" outlineLevel="0" collapsed="false">
      <c r="G2764" s="25"/>
      <c r="H2764" s="475"/>
      <c r="J2764" s="462"/>
    </row>
    <row r="2765" customFormat="false" ht="12.8" hidden="false" customHeight="false" outlineLevel="0" collapsed="false">
      <c r="G2765" s="25"/>
      <c r="H2765" s="475"/>
      <c r="J2765" s="462"/>
    </row>
    <row r="2766" customFormat="false" ht="12.8" hidden="false" customHeight="false" outlineLevel="0" collapsed="false">
      <c r="G2766" s="25"/>
      <c r="H2766" s="475"/>
      <c r="J2766" s="462"/>
    </row>
    <row r="2767" customFormat="false" ht="12.8" hidden="false" customHeight="false" outlineLevel="0" collapsed="false">
      <c r="G2767" s="25"/>
      <c r="H2767" s="475"/>
    </row>
    <row r="2768" customFormat="false" ht="12.8" hidden="false" customHeight="false" outlineLevel="0" collapsed="false">
      <c r="G2768" s="25"/>
      <c r="H2768" s="475"/>
      <c r="J2768" s="462"/>
    </row>
    <row r="2769" customFormat="false" ht="12.8" hidden="false" customHeight="false" outlineLevel="0" collapsed="false">
      <c r="G2769" s="25"/>
      <c r="H2769" s="475"/>
      <c r="J2769" s="462"/>
    </row>
    <row r="2770" customFormat="false" ht="12.8" hidden="false" customHeight="false" outlineLevel="0" collapsed="false">
      <c r="G2770" s="25"/>
      <c r="H2770" s="475"/>
      <c r="J2770" s="462"/>
    </row>
    <row r="2771" customFormat="false" ht="12.8" hidden="false" customHeight="false" outlineLevel="0" collapsed="false">
      <c r="G2771" s="25"/>
      <c r="H2771" s="475"/>
    </row>
    <row r="2772" customFormat="false" ht="12.8" hidden="false" customHeight="false" outlineLevel="0" collapsed="false">
      <c r="G2772" s="25"/>
      <c r="H2772" s="475"/>
      <c r="J2772" s="462"/>
    </row>
    <row r="2773" customFormat="false" ht="12.8" hidden="false" customHeight="false" outlineLevel="0" collapsed="false">
      <c r="G2773" s="25"/>
      <c r="H2773" s="475"/>
      <c r="J2773" s="462"/>
    </row>
    <row r="2774" customFormat="false" ht="12.8" hidden="false" customHeight="false" outlineLevel="0" collapsed="false">
      <c r="G2774" s="25"/>
      <c r="H2774" s="475"/>
      <c r="J2774" s="462"/>
    </row>
    <row r="2775" customFormat="false" ht="12.8" hidden="false" customHeight="false" outlineLevel="0" collapsed="false">
      <c r="G2775" s="25"/>
      <c r="H2775" s="475"/>
      <c r="J2775" s="462"/>
    </row>
    <row r="2776" customFormat="false" ht="12.8" hidden="false" customHeight="false" outlineLevel="0" collapsed="false">
      <c r="G2776" s="25"/>
      <c r="H2776" s="475"/>
      <c r="J2776" s="462"/>
    </row>
    <row r="2777" customFormat="false" ht="12.8" hidden="false" customHeight="false" outlineLevel="0" collapsed="false">
      <c r="G2777" s="25"/>
      <c r="H2777" s="475"/>
      <c r="J2777" s="462"/>
    </row>
    <row r="2778" customFormat="false" ht="12.8" hidden="false" customHeight="false" outlineLevel="0" collapsed="false">
      <c r="G2778" s="25"/>
      <c r="H2778" s="475"/>
      <c r="J2778" s="462"/>
    </row>
    <row r="2779" customFormat="false" ht="12.8" hidden="false" customHeight="false" outlineLevel="0" collapsed="false">
      <c r="G2779" s="25"/>
      <c r="H2779" s="475"/>
      <c r="J2779" s="462"/>
    </row>
    <row r="2780" customFormat="false" ht="12.8" hidden="false" customHeight="false" outlineLevel="0" collapsed="false">
      <c r="G2780" s="25"/>
      <c r="H2780" s="475"/>
      <c r="J2780" s="462"/>
    </row>
    <row r="2781" customFormat="false" ht="12.8" hidden="false" customHeight="false" outlineLevel="0" collapsed="false">
      <c r="G2781" s="25"/>
      <c r="H2781" s="475"/>
      <c r="J2781" s="462"/>
    </row>
    <row r="2782" customFormat="false" ht="12.8" hidden="false" customHeight="false" outlineLevel="0" collapsed="false">
      <c r="G2782" s="25"/>
      <c r="H2782" s="475"/>
      <c r="J2782" s="462"/>
    </row>
    <row r="2783" customFormat="false" ht="12.8" hidden="false" customHeight="false" outlineLevel="0" collapsed="false">
      <c r="G2783" s="25"/>
      <c r="H2783" s="475"/>
      <c r="J2783" s="462"/>
    </row>
    <row r="2784" customFormat="false" ht="12.8" hidden="false" customHeight="false" outlineLevel="0" collapsed="false">
      <c r="G2784" s="25"/>
      <c r="H2784" s="475"/>
      <c r="J2784" s="462"/>
    </row>
    <row r="2785" customFormat="false" ht="12.8" hidden="false" customHeight="false" outlineLevel="0" collapsed="false">
      <c r="G2785" s="25"/>
      <c r="H2785" s="475"/>
      <c r="J2785" s="462"/>
    </row>
    <row r="2786" customFormat="false" ht="12.8" hidden="false" customHeight="false" outlineLevel="0" collapsed="false">
      <c r="G2786" s="25"/>
      <c r="H2786" s="475"/>
      <c r="J2786" s="462"/>
    </row>
    <row r="2787" customFormat="false" ht="12.8" hidden="false" customHeight="false" outlineLevel="0" collapsed="false">
      <c r="G2787" s="25"/>
      <c r="H2787" s="475"/>
      <c r="J2787" s="462"/>
    </row>
    <row r="2788" customFormat="false" ht="12.8" hidden="false" customHeight="false" outlineLevel="0" collapsed="false">
      <c r="G2788" s="25"/>
      <c r="H2788" s="475"/>
      <c r="J2788" s="462"/>
    </row>
    <row r="2789" customFormat="false" ht="12.8" hidden="false" customHeight="false" outlineLevel="0" collapsed="false">
      <c r="G2789" s="25"/>
      <c r="H2789" s="475"/>
      <c r="J2789" s="462"/>
    </row>
    <row r="2790" customFormat="false" ht="12.8" hidden="false" customHeight="false" outlineLevel="0" collapsed="false">
      <c r="G2790" s="25"/>
      <c r="H2790" s="475"/>
      <c r="J2790" s="462"/>
    </row>
    <row r="2791" customFormat="false" ht="12.8" hidden="false" customHeight="false" outlineLevel="0" collapsed="false">
      <c r="G2791" s="25"/>
      <c r="H2791" s="475"/>
      <c r="J2791" s="462"/>
    </row>
    <row r="2792" customFormat="false" ht="12.8" hidden="false" customHeight="false" outlineLevel="0" collapsed="false">
      <c r="G2792" s="25"/>
      <c r="H2792" s="475"/>
      <c r="J2792" s="462"/>
    </row>
    <row r="2793" customFormat="false" ht="12.8" hidden="false" customHeight="false" outlineLevel="0" collapsed="false">
      <c r="G2793" s="25"/>
      <c r="H2793" s="475"/>
      <c r="J2793" s="462"/>
    </row>
    <row r="2794" customFormat="false" ht="12.8" hidden="false" customHeight="false" outlineLevel="0" collapsed="false">
      <c r="G2794" s="25"/>
      <c r="H2794" s="475"/>
      <c r="J2794" s="462"/>
    </row>
    <row r="2795" customFormat="false" ht="12.8" hidden="false" customHeight="false" outlineLevel="0" collapsed="false">
      <c r="G2795" s="25"/>
      <c r="H2795" s="475"/>
      <c r="J2795" s="462"/>
    </row>
    <row r="2796" customFormat="false" ht="12.8" hidden="false" customHeight="false" outlineLevel="0" collapsed="false">
      <c r="G2796" s="25"/>
      <c r="H2796" s="475"/>
      <c r="J2796" s="462"/>
    </row>
    <row r="2797" customFormat="false" ht="12.8" hidden="false" customHeight="false" outlineLevel="0" collapsed="false">
      <c r="G2797" s="25"/>
      <c r="H2797" s="475"/>
      <c r="J2797" s="462"/>
    </row>
    <row r="2798" customFormat="false" ht="12.8" hidden="false" customHeight="false" outlineLevel="0" collapsed="false">
      <c r="G2798" s="25"/>
      <c r="H2798" s="475"/>
      <c r="J2798" s="462"/>
    </row>
    <row r="2799" customFormat="false" ht="12.8" hidden="false" customHeight="false" outlineLevel="0" collapsed="false">
      <c r="G2799" s="25"/>
      <c r="H2799" s="475"/>
      <c r="J2799" s="462"/>
    </row>
    <row r="2800" customFormat="false" ht="12.8" hidden="false" customHeight="false" outlineLevel="0" collapsed="false">
      <c r="G2800" s="25"/>
      <c r="H2800" s="475"/>
      <c r="J2800" s="462"/>
    </row>
    <row r="2801" customFormat="false" ht="12.8" hidden="false" customHeight="false" outlineLevel="0" collapsed="false">
      <c r="G2801" s="25"/>
      <c r="H2801" s="475"/>
      <c r="J2801" s="462"/>
    </row>
    <row r="2802" customFormat="false" ht="12.8" hidden="false" customHeight="false" outlineLevel="0" collapsed="false">
      <c r="G2802" s="25"/>
      <c r="H2802" s="475"/>
      <c r="J2802" s="462"/>
    </row>
    <row r="2803" customFormat="false" ht="12.8" hidden="false" customHeight="false" outlineLevel="0" collapsed="false">
      <c r="G2803" s="25"/>
      <c r="H2803" s="475"/>
      <c r="J2803" s="462"/>
    </row>
    <row r="2804" customFormat="false" ht="12.8" hidden="false" customHeight="false" outlineLevel="0" collapsed="false">
      <c r="G2804" s="25"/>
      <c r="H2804" s="475"/>
      <c r="J2804" s="462"/>
    </row>
    <row r="2805" customFormat="false" ht="12.8" hidden="false" customHeight="false" outlineLevel="0" collapsed="false">
      <c r="G2805" s="25"/>
      <c r="H2805" s="475"/>
      <c r="J2805" s="462"/>
    </row>
    <row r="2806" customFormat="false" ht="12.8" hidden="false" customHeight="false" outlineLevel="0" collapsed="false">
      <c r="G2806" s="25"/>
      <c r="H2806" s="475"/>
      <c r="J2806" s="462"/>
    </row>
    <row r="2807" customFormat="false" ht="12.8" hidden="false" customHeight="false" outlineLevel="0" collapsed="false">
      <c r="G2807" s="25"/>
      <c r="H2807" s="475"/>
      <c r="J2807" s="462"/>
    </row>
    <row r="2808" customFormat="false" ht="12.8" hidden="false" customHeight="false" outlineLevel="0" collapsed="false">
      <c r="G2808" s="25"/>
      <c r="H2808" s="475"/>
      <c r="J2808" s="462"/>
    </row>
    <row r="2809" customFormat="false" ht="12.8" hidden="false" customHeight="false" outlineLevel="0" collapsed="false">
      <c r="G2809" s="25"/>
      <c r="H2809" s="475"/>
      <c r="J2809" s="462"/>
    </row>
    <row r="2810" customFormat="false" ht="12.8" hidden="false" customHeight="false" outlineLevel="0" collapsed="false">
      <c r="G2810" s="25"/>
      <c r="H2810" s="475"/>
      <c r="J2810" s="462"/>
    </row>
    <row r="2811" customFormat="false" ht="12.8" hidden="false" customHeight="false" outlineLevel="0" collapsed="false">
      <c r="G2811" s="25"/>
      <c r="H2811" s="475"/>
      <c r="J2811" s="462"/>
    </row>
    <row r="2812" customFormat="false" ht="12.8" hidden="false" customHeight="false" outlineLevel="0" collapsed="false">
      <c r="G2812" s="25"/>
      <c r="H2812" s="475"/>
      <c r="J2812" s="462"/>
    </row>
    <row r="2813" customFormat="false" ht="12.8" hidden="false" customHeight="false" outlineLevel="0" collapsed="false">
      <c r="G2813" s="25"/>
      <c r="H2813" s="475"/>
      <c r="J2813" s="462"/>
    </row>
    <row r="2814" customFormat="false" ht="12.8" hidden="false" customHeight="false" outlineLevel="0" collapsed="false">
      <c r="G2814" s="25"/>
      <c r="H2814" s="475"/>
      <c r="J2814" s="462"/>
    </row>
    <row r="2815" customFormat="false" ht="12.8" hidden="false" customHeight="false" outlineLevel="0" collapsed="false">
      <c r="G2815" s="25"/>
      <c r="H2815" s="475"/>
      <c r="J2815" s="462"/>
    </row>
    <row r="2816" customFormat="false" ht="12.8" hidden="false" customHeight="false" outlineLevel="0" collapsed="false">
      <c r="G2816" s="25"/>
      <c r="H2816" s="475"/>
      <c r="J2816" s="462"/>
    </row>
    <row r="2817" customFormat="false" ht="12.8" hidden="false" customHeight="false" outlineLevel="0" collapsed="false">
      <c r="G2817" s="25"/>
      <c r="H2817" s="475"/>
      <c r="J2817" s="462"/>
    </row>
    <row r="2818" customFormat="false" ht="12.8" hidden="false" customHeight="false" outlineLevel="0" collapsed="false">
      <c r="G2818" s="25"/>
      <c r="H2818" s="475"/>
      <c r="J2818" s="462"/>
    </row>
    <row r="2819" customFormat="false" ht="12.8" hidden="false" customHeight="false" outlineLevel="0" collapsed="false">
      <c r="G2819" s="25"/>
      <c r="H2819" s="475"/>
      <c r="J2819" s="462"/>
    </row>
    <row r="2820" customFormat="false" ht="12.8" hidden="false" customHeight="false" outlineLevel="0" collapsed="false">
      <c r="G2820" s="25"/>
      <c r="H2820" s="475"/>
      <c r="J2820" s="462"/>
    </row>
    <row r="2821" customFormat="false" ht="12.8" hidden="false" customHeight="false" outlineLevel="0" collapsed="false">
      <c r="G2821" s="25"/>
      <c r="H2821" s="475"/>
      <c r="J2821" s="462"/>
    </row>
    <row r="2822" customFormat="false" ht="12.8" hidden="false" customHeight="false" outlineLevel="0" collapsed="false">
      <c r="G2822" s="25"/>
      <c r="H2822" s="475"/>
      <c r="J2822" s="462"/>
    </row>
    <row r="2823" customFormat="false" ht="12.8" hidden="false" customHeight="false" outlineLevel="0" collapsed="false">
      <c r="G2823" s="25"/>
      <c r="H2823" s="475"/>
      <c r="J2823" s="462"/>
    </row>
    <row r="2824" customFormat="false" ht="12.8" hidden="false" customHeight="false" outlineLevel="0" collapsed="false">
      <c r="G2824" s="25"/>
      <c r="H2824" s="475"/>
      <c r="J2824" s="462"/>
    </row>
    <row r="2825" customFormat="false" ht="12.8" hidden="false" customHeight="false" outlineLevel="0" collapsed="false">
      <c r="G2825" s="25"/>
      <c r="H2825" s="475"/>
    </row>
    <row r="2826" customFormat="false" ht="12.8" hidden="false" customHeight="false" outlineLevel="0" collapsed="false">
      <c r="G2826" s="25"/>
      <c r="H2826" s="475"/>
      <c r="J2826" s="462"/>
    </row>
    <row r="2827" customFormat="false" ht="12.8" hidden="false" customHeight="false" outlineLevel="0" collapsed="false">
      <c r="G2827" s="25"/>
      <c r="H2827" s="475"/>
      <c r="J2827" s="462"/>
    </row>
    <row r="2828" customFormat="false" ht="12.8" hidden="false" customHeight="false" outlineLevel="0" collapsed="false">
      <c r="G2828" s="25"/>
      <c r="H2828" s="475"/>
    </row>
    <row r="2829" customFormat="false" ht="12.8" hidden="false" customHeight="false" outlineLevel="0" collapsed="false">
      <c r="G2829" s="25"/>
      <c r="H2829" s="475"/>
      <c r="J2829" s="462"/>
    </row>
    <row r="2830" customFormat="false" ht="12.8" hidden="false" customHeight="false" outlineLevel="0" collapsed="false">
      <c r="G2830" s="25"/>
      <c r="H2830" s="475"/>
      <c r="J2830" s="462"/>
    </row>
    <row r="2831" customFormat="false" ht="12.8" hidden="false" customHeight="false" outlineLevel="0" collapsed="false">
      <c r="G2831" s="25"/>
      <c r="H2831" s="475"/>
    </row>
    <row r="2832" customFormat="false" ht="12.8" hidden="false" customHeight="false" outlineLevel="0" collapsed="false">
      <c r="G2832" s="25"/>
      <c r="H2832" s="475"/>
      <c r="J2832" s="462"/>
    </row>
    <row r="2833" customFormat="false" ht="12.8" hidden="false" customHeight="false" outlineLevel="0" collapsed="false">
      <c r="G2833" s="25"/>
      <c r="H2833" s="475"/>
      <c r="J2833" s="462"/>
    </row>
    <row r="2834" customFormat="false" ht="12.8" hidden="false" customHeight="false" outlineLevel="0" collapsed="false">
      <c r="G2834" s="25"/>
      <c r="H2834" s="475"/>
      <c r="J2834" s="462"/>
    </row>
    <row r="2835" customFormat="false" ht="12.8" hidden="false" customHeight="false" outlineLevel="0" collapsed="false">
      <c r="G2835" s="25"/>
      <c r="H2835" s="475"/>
      <c r="J2835" s="462"/>
    </row>
    <row r="2836" customFormat="false" ht="12.8" hidden="false" customHeight="false" outlineLevel="0" collapsed="false">
      <c r="G2836" s="25"/>
      <c r="H2836" s="475"/>
      <c r="J2836" s="462"/>
    </row>
    <row r="2837" customFormat="false" ht="12.8" hidden="false" customHeight="false" outlineLevel="0" collapsed="false">
      <c r="G2837" s="25"/>
      <c r="H2837" s="475"/>
      <c r="J2837" s="462"/>
    </row>
    <row r="2838" customFormat="false" ht="12.8" hidden="false" customHeight="false" outlineLevel="0" collapsed="false">
      <c r="G2838" s="25"/>
      <c r="H2838" s="475"/>
      <c r="J2838" s="462"/>
    </row>
    <row r="2839" customFormat="false" ht="12.8" hidden="false" customHeight="false" outlineLevel="0" collapsed="false">
      <c r="G2839" s="25"/>
      <c r="H2839" s="475"/>
      <c r="J2839" s="462"/>
    </row>
    <row r="2840" customFormat="false" ht="12.8" hidden="false" customHeight="false" outlineLevel="0" collapsed="false">
      <c r="G2840" s="25"/>
      <c r="H2840" s="475"/>
      <c r="J2840" s="462"/>
    </row>
    <row r="2841" customFormat="false" ht="12.8" hidden="false" customHeight="false" outlineLevel="0" collapsed="false">
      <c r="G2841" s="25"/>
      <c r="H2841" s="475"/>
      <c r="J2841" s="462"/>
    </row>
    <row r="2842" customFormat="false" ht="12.8" hidden="false" customHeight="false" outlineLevel="0" collapsed="false">
      <c r="G2842" s="25"/>
      <c r="H2842" s="475"/>
      <c r="J2842" s="462"/>
    </row>
    <row r="2843" customFormat="false" ht="12.8" hidden="false" customHeight="false" outlineLevel="0" collapsed="false">
      <c r="G2843" s="25"/>
      <c r="H2843" s="475"/>
      <c r="J2843" s="462"/>
    </row>
    <row r="2844" customFormat="false" ht="12.8" hidden="false" customHeight="false" outlineLevel="0" collapsed="false">
      <c r="G2844" s="25"/>
      <c r="H2844" s="475"/>
      <c r="J2844" s="462"/>
    </row>
    <row r="2845" customFormat="false" ht="12.8" hidden="false" customHeight="false" outlineLevel="0" collapsed="false">
      <c r="G2845" s="25"/>
      <c r="H2845" s="475"/>
      <c r="J2845" s="462"/>
    </row>
    <row r="2846" customFormat="false" ht="12.8" hidden="false" customHeight="false" outlineLevel="0" collapsed="false">
      <c r="G2846" s="25"/>
      <c r="H2846" s="475"/>
      <c r="J2846" s="462"/>
    </row>
    <row r="2847" customFormat="false" ht="12.8" hidden="false" customHeight="false" outlineLevel="0" collapsed="false">
      <c r="G2847" s="25"/>
      <c r="H2847" s="475"/>
      <c r="J2847" s="462"/>
    </row>
    <row r="2848" customFormat="false" ht="12.8" hidden="false" customHeight="false" outlineLevel="0" collapsed="false">
      <c r="G2848" s="25"/>
      <c r="H2848" s="475"/>
      <c r="J2848" s="462"/>
    </row>
    <row r="2849" customFormat="false" ht="12.8" hidden="false" customHeight="false" outlineLevel="0" collapsed="false">
      <c r="G2849" s="25"/>
      <c r="H2849" s="475"/>
      <c r="J2849" s="462"/>
    </row>
    <row r="2850" customFormat="false" ht="12.8" hidden="false" customHeight="false" outlineLevel="0" collapsed="false">
      <c r="G2850" s="25"/>
      <c r="H2850" s="475"/>
      <c r="J2850" s="462"/>
    </row>
    <row r="2851" customFormat="false" ht="12.8" hidden="false" customHeight="false" outlineLevel="0" collapsed="false">
      <c r="G2851" s="25"/>
      <c r="H2851" s="475"/>
      <c r="J2851" s="462"/>
    </row>
    <row r="2852" customFormat="false" ht="12.8" hidden="false" customHeight="false" outlineLevel="0" collapsed="false">
      <c r="G2852" s="25"/>
      <c r="H2852" s="475"/>
      <c r="J2852" s="462"/>
    </row>
    <row r="2853" customFormat="false" ht="12.8" hidden="false" customHeight="false" outlineLevel="0" collapsed="false">
      <c r="G2853" s="25"/>
      <c r="H2853" s="475"/>
      <c r="J2853" s="462"/>
    </row>
    <row r="2854" customFormat="false" ht="12.8" hidden="false" customHeight="false" outlineLevel="0" collapsed="false">
      <c r="G2854" s="25"/>
      <c r="H2854" s="475"/>
      <c r="J2854" s="462"/>
    </row>
    <row r="2855" customFormat="false" ht="12.8" hidden="false" customHeight="false" outlineLevel="0" collapsed="false">
      <c r="G2855" s="25"/>
      <c r="H2855" s="475"/>
      <c r="J2855" s="462"/>
    </row>
    <row r="2856" customFormat="false" ht="12.8" hidden="false" customHeight="false" outlineLevel="0" collapsed="false">
      <c r="G2856" s="25"/>
      <c r="H2856" s="475"/>
      <c r="J2856" s="462"/>
    </row>
    <row r="2857" customFormat="false" ht="12.8" hidden="false" customHeight="false" outlineLevel="0" collapsed="false">
      <c r="G2857" s="25"/>
      <c r="H2857" s="475"/>
      <c r="J2857" s="462"/>
    </row>
    <row r="2858" customFormat="false" ht="12.8" hidden="false" customHeight="false" outlineLevel="0" collapsed="false">
      <c r="G2858" s="25"/>
      <c r="H2858" s="475"/>
      <c r="J2858" s="462"/>
    </row>
    <row r="2859" customFormat="false" ht="12.8" hidden="false" customHeight="false" outlineLevel="0" collapsed="false">
      <c r="G2859" s="25"/>
      <c r="H2859" s="475"/>
      <c r="J2859" s="462"/>
    </row>
    <row r="2860" customFormat="false" ht="12.8" hidden="false" customHeight="false" outlineLevel="0" collapsed="false">
      <c r="G2860" s="25"/>
      <c r="H2860" s="475"/>
      <c r="J2860" s="462"/>
    </row>
    <row r="2861" customFormat="false" ht="12.8" hidden="false" customHeight="false" outlineLevel="0" collapsed="false">
      <c r="G2861" s="25"/>
      <c r="H2861" s="475"/>
      <c r="J2861" s="462"/>
    </row>
    <row r="2862" customFormat="false" ht="12.8" hidden="false" customHeight="false" outlineLevel="0" collapsed="false">
      <c r="G2862" s="25"/>
      <c r="H2862" s="475"/>
      <c r="J2862" s="462"/>
    </row>
    <row r="2863" customFormat="false" ht="12.8" hidden="false" customHeight="false" outlineLevel="0" collapsed="false">
      <c r="G2863" s="25"/>
      <c r="H2863" s="475"/>
      <c r="J2863" s="462"/>
    </row>
    <row r="2864" customFormat="false" ht="12.8" hidden="false" customHeight="false" outlineLevel="0" collapsed="false">
      <c r="G2864" s="25"/>
      <c r="H2864" s="475"/>
      <c r="J2864" s="462"/>
    </row>
    <row r="2865" customFormat="false" ht="12.8" hidden="false" customHeight="false" outlineLevel="0" collapsed="false">
      <c r="G2865" s="25"/>
      <c r="H2865" s="475"/>
      <c r="J2865" s="462"/>
    </row>
    <row r="2866" customFormat="false" ht="12.8" hidden="false" customHeight="false" outlineLevel="0" collapsed="false">
      <c r="G2866" s="25"/>
      <c r="H2866" s="475"/>
      <c r="J2866" s="462"/>
    </row>
    <row r="2867" customFormat="false" ht="12.8" hidden="false" customHeight="false" outlineLevel="0" collapsed="false">
      <c r="G2867" s="25"/>
      <c r="H2867" s="475"/>
      <c r="J2867" s="462"/>
    </row>
    <row r="2868" customFormat="false" ht="12.8" hidden="false" customHeight="false" outlineLevel="0" collapsed="false">
      <c r="G2868" s="25"/>
      <c r="H2868" s="475"/>
      <c r="J2868" s="462"/>
    </row>
    <row r="2869" customFormat="false" ht="12.8" hidden="false" customHeight="false" outlineLevel="0" collapsed="false">
      <c r="G2869" s="25"/>
      <c r="H2869" s="475"/>
      <c r="J2869" s="462"/>
    </row>
    <row r="2870" customFormat="false" ht="12.8" hidden="false" customHeight="false" outlineLevel="0" collapsed="false">
      <c r="G2870" s="25"/>
      <c r="H2870" s="475"/>
      <c r="J2870" s="462"/>
    </row>
    <row r="2871" customFormat="false" ht="12.8" hidden="false" customHeight="false" outlineLevel="0" collapsed="false">
      <c r="G2871" s="25"/>
      <c r="H2871" s="475"/>
      <c r="J2871" s="462"/>
    </row>
    <row r="2872" customFormat="false" ht="12.8" hidden="false" customHeight="false" outlineLevel="0" collapsed="false">
      <c r="G2872" s="25"/>
      <c r="H2872" s="475"/>
      <c r="J2872" s="462"/>
    </row>
    <row r="2873" customFormat="false" ht="12.8" hidden="false" customHeight="false" outlineLevel="0" collapsed="false">
      <c r="G2873" s="25"/>
      <c r="H2873" s="475"/>
      <c r="J2873" s="462"/>
    </row>
    <row r="2874" customFormat="false" ht="12.8" hidden="false" customHeight="false" outlineLevel="0" collapsed="false">
      <c r="G2874" s="25"/>
      <c r="H2874" s="475"/>
      <c r="J2874" s="462"/>
    </row>
    <row r="2875" customFormat="false" ht="12.8" hidden="false" customHeight="false" outlineLevel="0" collapsed="false">
      <c r="G2875" s="25"/>
      <c r="H2875" s="475"/>
      <c r="J2875" s="462"/>
    </row>
    <row r="2876" customFormat="false" ht="12.8" hidden="false" customHeight="false" outlineLevel="0" collapsed="false">
      <c r="G2876" s="25"/>
      <c r="H2876" s="475"/>
      <c r="J2876" s="462"/>
    </row>
    <row r="2877" customFormat="false" ht="12.8" hidden="false" customHeight="false" outlineLevel="0" collapsed="false">
      <c r="G2877" s="25"/>
      <c r="H2877" s="475"/>
      <c r="J2877" s="462"/>
    </row>
    <row r="2878" customFormat="false" ht="12.8" hidden="false" customHeight="false" outlineLevel="0" collapsed="false">
      <c r="G2878" s="25"/>
      <c r="H2878" s="475"/>
      <c r="J2878" s="462"/>
    </row>
    <row r="2879" customFormat="false" ht="12.8" hidden="false" customHeight="false" outlineLevel="0" collapsed="false">
      <c r="G2879" s="25"/>
      <c r="H2879" s="475"/>
      <c r="J2879" s="462"/>
    </row>
    <row r="2880" customFormat="false" ht="12.8" hidden="false" customHeight="false" outlineLevel="0" collapsed="false">
      <c r="G2880" s="25"/>
      <c r="H2880" s="475"/>
      <c r="J2880" s="462"/>
    </row>
    <row r="2881" customFormat="false" ht="12.8" hidden="false" customHeight="false" outlineLevel="0" collapsed="false">
      <c r="G2881" s="25"/>
      <c r="H2881" s="475"/>
      <c r="J2881" s="462"/>
    </row>
    <row r="2882" customFormat="false" ht="12.8" hidden="false" customHeight="false" outlineLevel="0" collapsed="false">
      <c r="G2882" s="25"/>
      <c r="H2882" s="475"/>
      <c r="J2882" s="462"/>
    </row>
    <row r="2883" customFormat="false" ht="12.8" hidden="false" customHeight="false" outlineLevel="0" collapsed="false">
      <c r="G2883" s="25"/>
      <c r="H2883" s="475"/>
      <c r="J2883" s="462"/>
    </row>
    <row r="2884" customFormat="false" ht="12.8" hidden="false" customHeight="false" outlineLevel="0" collapsed="false">
      <c r="G2884" s="25"/>
      <c r="H2884" s="475"/>
      <c r="J2884" s="462"/>
    </row>
    <row r="2885" customFormat="false" ht="12.8" hidden="false" customHeight="false" outlineLevel="0" collapsed="false">
      <c r="G2885" s="25"/>
      <c r="H2885" s="475"/>
      <c r="J2885" s="462"/>
    </row>
    <row r="2886" customFormat="false" ht="12.8" hidden="false" customHeight="false" outlineLevel="0" collapsed="false">
      <c r="G2886" s="25"/>
      <c r="H2886" s="475"/>
      <c r="J2886" s="462"/>
    </row>
    <row r="2887" customFormat="false" ht="12.8" hidden="false" customHeight="false" outlineLevel="0" collapsed="false">
      <c r="G2887" s="25"/>
      <c r="H2887" s="475"/>
      <c r="J2887" s="462"/>
    </row>
    <row r="2888" customFormat="false" ht="12.8" hidden="false" customHeight="false" outlineLevel="0" collapsed="false">
      <c r="G2888" s="25"/>
      <c r="H2888" s="475"/>
      <c r="J2888" s="462"/>
    </row>
    <row r="2889" customFormat="false" ht="12.8" hidden="false" customHeight="false" outlineLevel="0" collapsed="false">
      <c r="G2889" s="25"/>
      <c r="H2889" s="475"/>
      <c r="J2889" s="462"/>
    </row>
    <row r="2890" customFormat="false" ht="12.8" hidden="false" customHeight="false" outlineLevel="0" collapsed="false">
      <c r="G2890" s="25"/>
      <c r="H2890" s="475"/>
      <c r="J2890" s="462"/>
    </row>
    <row r="2891" customFormat="false" ht="12.8" hidden="false" customHeight="false" outlineLevel="0" collapsed="false">
      <c r="G2891" s="25"/>
      <c r="H2891" s="475"/>
      <c r="J2891" s="462"/>
    </row>
    <row r="2892" customFormat="false" ht="12.8" hidden="false" customHeight="false" outlineLevel="0" collapsed="false">
      <c r="G2892" s="25"/>
      <c r="H2892" s="475"/>
      <c r="J2892" s="462"/>
    </row>
    <row r="2893" customFormat="false" ht="12.8" hidden="false" customHeight="false" outlineLevel="0" collapsed="false">
      <c r="G2893" s="25"/>
      <c r="H2893" s="475"/>
      <c r="J2893" s="462"/>
    </row>
    <row r="2894" customFormat="false" ht="12.8" hidden="false" customHeight="false" outlineLevel="0" collapsed="false">
      <c r="G2894" s="25"/>
      <c r="H2894" s="475"/>
      <c r="J2894" s="462"/>
    </row>
    <row r="2895" customFormat="false" ht="12.8" hidden="false" customHeight="false" outlineLevel="0" collapsed="false">
      <c r="G2895" s="25"/>
      <c r="H2895" s="475"/>
      <c r="J2895" s="462"/>
    </row>
    <row r="2896" customFormat="false" ht="12.8" hidden="false" customHeight="false" outlineLevel="0" collapsed="false">
      <c r="G2896" s="25"/>
      <c r="H2896" s="475"/>
      <c r="J2896" s="462"/>
    </row>
    <row r="2897" customFormat="false" ht="12.8" hidden="false" customHeight="false" outlineLevel="0" collapsed="false">
      <c r="G2897" s="25"/>
      <c r="H2897" s="475"/>
      <c r="J2897" s="462"/>
    </row>
    <row r="2898" customFormat="false" ht="12.8" hidden="false" customHeight="false" outlineLevel="0" collapsed="false">
      <c r="G2898" s="25"/>
      <c r="H2898" s="475"/>
      <c r="J2898" s="462"/>
    </row>
    <row r="2899" customFormat="false" ht="12.8" hidden="false" customHeight="false" outlineLevel="0" collapsed="false">
      <c r="G2899" s="25"/>
      <c r="H2899" s="475"/>
      <c r="J2899" s="462"/>
    </row>
    <row r="2900" customFormat="false" ht="12.8" hidden="false" customHeight="false" outlineLevel="0" collapsed="false">
      <c r="G2900" s="25"/>
      <c r="H2900" s="475"/>
      <c r="J2900" s="462"/>
    </row>
    <row r="2901" customFormat="false" ht="12.8" hidden="false" customHeight="false" outlineLevel="0" collapsed="false">
      <c r="G2901" s="25"/>
      <c r="H2901" s="475"/>
      <c r="J2901" s="462"/>
    </row>
    <row r="2902" customFormat="false" ht="12.8" hidden="false" customHeight="false" outlineLevel="0" collapsed="false">
      <c r="G2902" s="25"/>
      <c r="H2902" s="475"/>
    </row>
    <row r="2903" customFormat="false" ht="12.8" hidden="false" customHeight="false" outlineLevel="0" collapsed="false">
      <c r="G2903" s="25"/>
      <c r="H2903" s="475"/>
      <c r="J2903" s="462"/>
    </row>
    <row r="2904" customFormat="false" ht="12.8" hidden="false" customHeight="false" outlineLevel="0" collapsed="false">
      <c r="G2904" s="25"/>
      <c r="H2904" s="475"/>
      <c r="J2904" s="462"/>
    </row>
    <row r="2905" customFormat="false" ht="12.8" hidden="false" customHeight="false" outlineLevel="0" collapsed="false">
      <c r="G2905" s="25"/>
      <c r="H2905" s="475"/>
      <c r="J2905" s="462"/>
    </row>
    <row r="2906" customFormat="false" ht="12.8" hidden="false" customHeight="false" outlineLevel="0" collapsed="false">
      <c r="G2906" s="25"/>
      <c r="H2906" s="475"/>
      <c r="J2906" s="462"/>
    </row>
    <row r="2907" customFormat="false" ht="12.8" hidden="false" customHeight="false" outlineLevel="0" collapsed="false">
      <c r="G2907" s="25"/>
      <c r="H2907" s="475"/>
    </row>
    <row r="2908" customFormat="false" ht="12.8" hidden="false" customHeight="false" outlineLevel="0" collapsed="false">
      <c r="G2908" s="25"/>
      <c r="H2908" s="475"/>
    </row>
    <row r="2909" customFormat="false" ht="12.8" hidden="false" customHeight="false" outlineLevel="0" collapsed="false">
      <c r="G2909" s="25"/>
      <c r="H2909" s="475"/>
      <c r="J2909" s="462"/>
    </row>
    <row r="2910" customFormat="false" ht="12.8" hidden="false" customHeight="false" outlineLevel="0" collapsed="false">
      <c r="G2910" s="25"/>
      <c r="H2910" s="475"/>
      <c r="J2910" s="462"/>
    </row>
    <row r="2911" customFormat="false" ht="12.8" hidden="false" customHeight="false" outlineLevel="0" collapsed="false">
      <c r="G2911" s="25"/>
      <c r="H2911" s="475"/>
      <c r="J2911" s="462"/>
    </row>
    <row r="2912" customFormat="false" ht="12.8" hidden="false" customHeight="false" outlineLevel="0" collapsed="false">
      <c r="G2912" s="25"/>
      <c r="H2912" s="475"/>
      <c r="J2912" s="462"/>
    </row>
    <row r="2913" customFormat="false" ht="12.8" hidden="false" customHeight="false" outlineLevel="0" collapsed="false">
      <c r="G2913" s="25"/>
      <c r="H2913" s="475"/>
      <c r="J2913" s="462"/>
    </row>
    <row r="2914" customFormat="false" ht="12.8" hidden="false" customHeight="false" outlineLevel="0" collapsed="false">
      <c r="G2914" s="25"/>
      <c r="H2914" s="475"/>
      <c r="J2914" s="462"/>
    </row>
    <row r="2915" customFormat="false" ht="12.8" hidden="false" customHeight="false" outlineLevel="0" collapsed="false">
      <c r="G2915" s="25"/>
      <c r="H2915" s="475"/>
      <c r="J2915" s="462"/>
    </row>
    <row r="2916" customFormat="false" ht="12.8" hidden="false" customHeight="false" outlineLevel="0" collapsed="false">
      <c r="G2916" s="25"/>
      <c r="H2916" s="475"/>
      <c r="J2916" s="462"/>
    </row>
    <row r="2917" customFormat="false" ht="12.8" hidden="false" customHeight="false" outlineLevel="0" collapsed="false">
      <c r="G2917" s="25"/>
      <c r="H2917" s="475"/>
      <c r="J2917" s="462"/>
    </row>
    <row r="2918" customFormat="false" ht="12.8" hidden="false" customHeight="false" outlineLevel="0" collapsed="false">
      <c r="G2918" s="25"/>
      <c r="H2918" s="475"/>
      <c r="J2918" s="462"/>
    </row>
    <row r="2919" customFormat="false" ht="12.8" hidden="false" customHeight="false" outlineLevel="0" collapsed="false">
      <c r="G2919" s="25"/>
      <c r="H2919" s="475"/>
      <c r="J2919" s="462"/>
    </row>
    <row r="2920" customFormat="false" ht="12.8" hidden="false" customHeight="false" outlineLevel="0" collapsed="false">
      <c r="G2920" s="25"/>
      <c r="H2920" s="475"/>
    </row>
    <row r="2921" customFormat="false" ht="12.8" hidden="false" customHeight="false" outlineLevel="0" collapsed="false">
      <c r="G2921" s="25"/>
      <c r="H2921" s="475"/>
      <c r="J2921" s="462"/>
    </row>
    <row r="2922" customFormat="false" ht="12.8" hidden="false" customHeight="false" outlineLevel="0" collapsed="false">
      <c r="G2922" s="25"/>
      <c r="H2922" s="475"/>
      <c r="J2922" s="462"/>
    </row>
    <row r="2923" customFormat="false" ht="12.8" hidden="false" customHeight="false" outlineLevel="0" collapsed="false">
      <c r="G2923" s="25"/>
      <c r="H2923" s="475"/>
      <c r="J2923" s="462"/>
    </row>
    <row r="2924" customFormat="false" ht="12.8" hidden="false" customHeight="false" outlineLevel="0" collapsed="false">
      <c r="G2924" s="25"/>
      <c r="H2924" s="475"/>
      <c r="J2924" s="462"/>
    </row>
    <row r="2925" customFormat="false" ht="12.8" hidden="false" customHeight="false" outlineLevel="0" collapsed="false">
      <c r="G2925" s="25"/>
      <c r="H2925" s="475"/>
      <c r="J2925" s="462"/>
    </row>
    <row r="2926" customFormat="false" ht="12.8" hidden="false" customHeight="false" outlineLevel="0" collapsed="false">
      <c r="G2926" s="25"/>
      <c r="H2926" s="475"/>
      <c r="J2926" s="462"/>
    </row>
    <row r="2927" customFormat="false" ht="12.8" hidden="false" customHeight="false" outlineLevel="0" collapsed="false">
      <c r="G2927" s="25"/>
      <c r="H2927" s="475"/>
      <c r="J2927" s="462"/>
    </row>
    <row r="2928" customFormat="false" ht="12.8" hidden="false" customHeight="false" outlineLevel="0" collapsed="false">
      <c r="G2928" s="25"/>
      <c r="H2928" s="475"/>
      <c r="J2928" s="462"/>
    </row>
    <row r="2929" customFormat="false" ht="12.8" hidden="false" customHeight="false" outlineLevel="0" collapsed="false">
      <c r="G2929" s="25"/>
      <c r="H2929" s="475"/>
      <c r="J2929" s="462"/>
    </row>
    <row r="2930" customFormat="false" ht="12.8" hidden="false" customHeight="false" outlineLevel="0" collapsed="false">
      <c r="G2930" s="25"/>
      <c r="H2930" s="475"/>
      <c r="J2930" s="462"/>
    </row>
    <row r="2931" customFormat="false" ht="12.8" hidden="false" customHeight="false" outlineLevel="0" collapsed="false">
      <c r="G2931" s="25"/>
      <c r="H2931" s="475"/>
      <c r="J2931" s="462"/>
    </row>
    <row r="2932" customFormat="false" ht="12.8" hidden="false" customHeight="false" outlineLevel="0" collapsed="false">
      <c r="G2932" s="25"/>
      <c r="H2932" s="475"/>
      <c r="J2932" s="462"/>
    </row>
    <row r="2933" customFormat="false" ht="12.8" hidden="false" customHeight="false" outlineLevel="0" collapsed="false">
      <c r="G2933" s="25"/>
      <c r="H2933" s="475"/>
      <c r="J2933" s="462"/>
    </row>
    <row r="2934" customFormat="false" ht="12.8" hidden="false" customHeight="false" outlineLevel="0" collapsed="false">
      <c r="G2934" s="25"/>
      <c r="H2934" s="475"/>
      <c r="J2934" s="462"/>
    </row>
    <row r="2935" customFormat="false" ht="12.8" hidden="false" customHeight="false" outlineLevel="0" collapsed="false">
      <c r="G2935" s="25"/>
      <c r="H2935" s="475"/>
      <c r="J2935" s="462"/>
    </row>
    <row r="2936" customFormat="false" ht="12.8" hidden="false" customHeight="false" outlineLevel="0" collapsed="false">
      <c r="G2936" s="25"/>
      <c r="H2936" s="475"/>
      <c r="J2936" s="462"/>
    </row>
    <row r="2937" customFormat="false" ht="12.8" hidden="false" customHeight="false" outlineLevel="0" collapsed="false">
      <c r="G2937" s="25"/>
      <c r="H2937" s="475"/>
      <c r="J2937" s="462"/>
    </row>
    <row r="2938" customFormat="false" ht="12.8" hidden="false" customHeight="false" outlineLevel="0" collapsed="false">
      <c r="G2938" s="25"/>
      <c r="H2938" s="475"/>
    </row>
    <row r="2939" customFormat="false" ht="12.8" hidden="false" customHeight="false" outlineLevel="0" collapsed="false">
      <c r="G2939" s="25"/>
      <c r="H2939" s="475"/>
    </row>
    <row r="2940" customFormat="false" ht="12.8" hidden="false" customHeight="false" outlineLevel="0" collapsed="false">
      <c r="G2940" s="25"/>
      <c r="H2940" s="475"/>
      <c r="J2940" s="462"/>
    </row>
    <row r="2941" customFormat="false" ht="12.8" hidden="false" customHeight="false" outlineLevel="0" collapsed="false">
      <c r="G2941" s="25"/>
      <c r="H2941" s="475"/>
      <c r="J2941" s="462"/>
    </row>
    <row r="2942" customFormat="false" ht="12.8" hidden="false" customHeight="false" outlineLevel="0" collapsed="false">
      <c r="G2942" s="25"/>
      <c r="H2942" s="475"/>
      <c r="J2942" s="462"/>
    </row>
    <row r="2943" customFormat="false" ht="12.8" hidden="false" customHeight="false" outlineLevel="0" collapsed="false">
      <c r="G2943" s="25"/>
      <c r="H2943" s="475"/>
      <c r="J2943" s="462"/>
    </row>
    <row r="2944" customFormat="false" ht="12.8" hidden="false" customHeight="false" outlineLevel="0" collapsed="false">
      <c r="G2944" s="25"/>
      <c r="H2944" s="475"/>
      <c r="J2944" s="462"/>
    </row>
    <row r="2945" customFormat="false" ht="12.8" hidden="false" customHeight="false" outlineLevel="0" collapsed="false">
      <c r="G2945" s="25"/>
      <c r="H2945" s="475"/>
      <c r="J2945" s="462"/>
    </row>
    <row r="2946" customFormat="false" ht="12.8" hidden="false" customHeight="false" outlineLevel="0" collapsed="false">
      <c r="G2946" s="25"/>
      <c r="H2946" s="475"/>
      <c r="J2946" s="462"/>
    </row>
    <row r="2947" customFormat="false" ht="12.8" hidden="false" customHeight="false" outlineLevel="0" collapsed="false">
      <c r="G2947" s="25"/>
      <c r="H2947" s="475"/>
      <c r="J2947" s="462"/>
    </row>
    <row r="2948" customFormat="false" ht="12.8" hidden="false" customHeight="false" outlineLevel="0" collapsed="false">
      <c r="G2948" s="25"/>
      <c r="H2948" s="475"/>
      <c r="J2948" s="462"/>
    </row>
    <row r="2949" customFormat="false" ht="12.8" hidden="false" customHeight="false" outlineLevel="0" collapsed="false">
      <c r="G2949" s="25"/>
      <c r="H2949" s="475"/>
      <c r="J2949" s="462"/>
    </row>
    <row r="2950" customFormat="false" ht="12.8" hidden="false" customHeight="false" outlineLevel="0" collapsed="false">
      <c r="G2950" s="25"/>
      <c r="H2950" s="475"/>
      <c r="J2950" s="462"/>
    </row>
    <row r="2951" customFormat="false" ht="12.8" hidden="false" customHeight="false" outlineLevel="0" collapsed="false">
      <c r="G2951" s="25"/>
      <c r="H2951" s="475"/>
      <c r="J2951" s="462"/>
    </row>
    <row r="2952" customFormat="false" ht="12.8" hidden="false" customHeight="false" outlineLevel="0" collapsed="false">
      <c r="G2952" s="25"/>
      <c r="H2952" s="475"/>
      <c r="J2952" s="462"/>
    </row>
    <row r="2953" customFormat="false" ht="12.8" hidden="false" customHeight="false" outlineLevel="0" collapsed="false">
      <c r="G2953" s="25"/>
      <c r="H2953" s="475"/>
      <c r="J2953" s="462"/>
    </row>
    <row r="2954" customFormat="false" ht="12.8" hidden="false" customHeight="false" outlineLevel="0" collapsed="false">
      <c r="G2954" s="25"/>
      <c r="H2954" s="475"/>
      <c r="J2954" s="462"/>
    </row>
    <row r="2955" customFormat="false" ht="12.8" hidden="false" customHeight="false" outlineLevel="0" collapsed="false">
      <c r="G2955" s="25"/>
      <c r="H2955" s="475"/>
      <c r="J2955" s="462"/>
    </row>
    <row r="2956" customFormat="false" ht="12.8" hidden="false" customHeight="false" outlineLevel="0" collapsed="false">
      <c r="G2956" s="25"/>
      <c r="H2956" s="475"/>
      <c r="J2956" s="462"/>
    </row>
    <row r="2957" customFormat="false" ht="12.8" hidden="false" customHeight="false" outlineLevel="0" collapsed="false">
      <c r="G2957" s="25"/>
      <c r="H2957" s="475"/>
    </row>
    <row r="2958" customFormat="false" ht="12.8" hidden="false" customHeight="false" outlineLevel="0" collapsed="false">
      <c r="G2958" s="25"/>
      <c r="H2958" s="475"/>
      <c r="J2958" s="462"/>
    </row>
    <row r="2959" customFormat="false" ht="12.8" hidden="false" customHeight="false" outlineLevel="0" collapsed="false">
      <c r="G2959" s="25"/>
      <c r="H2959" s="475"/>
      <c r="J2959" s="462"/>
    </row>
    <row r="2960" customFormat="false" ht="12.8" hidden="false" customHeight="false" outlineLevel="0" collapsed="false">
      <c r="G2960" s="25"/>
      <c r="H2960" s="475"/>
      <c r="J2960" s="462"/>
    </row>
    <row r="2961" customFormat="false" ht="12.8" hidden="false" customHeight="false" outlineLevel="0" collapsed="false">
      <c r="G2961" s="25"/>
      <c r="H2961" s="475"/>
      <c r="J2961" s="462"/>
    </row>
    <row r="2962" customFormat="false" ht="12.8" hidden="false" customHeight="false" outlineLevel="0" collapsed="false">
      <c r="G2962" s="25"/>
      <c r="H2962" s="475"/>
      <c r="J2962" s="462"/>
    </row>
    <row r="2963" customFormat="false" ht="12.8" hidden="false" customHeight="false" outlineLevel="0" collapsed="false">
      <c r="G2963" s="25"/>
      <c r="H2963" s="475"/>
      <c r="J2963" s="462"/>
    </row>
    <row r="2964" customFormat="false" ht="12.8" hidden="false" customHeight="false" outlineLevel="0" collapsed="false">
      <c r="G2964" s="25"/>
      <c r="H2964" s="475"/>
      <c r="J2964" s="462"/>
    </row>
    <row r="2965" customFormat="false" ht="12.8" hidden="false" customHeight="false" outlineLevel="0" collapsed="false">
      <c r="G2965" s="25"/>
      <c r="H2965" s="475"/>
      <c r="J2965" s="462"/>
    </row>
    <row r="2966" customFormat="false" ht="12.8" hidden="false" customHeight="false" outlineLevel="0" collapsed="false">
      <c r="G2966" s="25"/>
      <c r="H2966" s="475"/>
      <c r="J2966" s="462"/>
    </row>
    <row r="2967" customFormat="false" ht="12.8" hidden="false" customHeight="false" outlineLevel="0" collapsed="false">
      <c r="G2967" s="25"/>
      <c r="H2967" s="475"/>
      <c r="J2967" s="462"/>
    </row>
    <row r="2968" customFormat="false" ht="12.8" hidden="false" customHeight="false" outlineLevel="0" collapsed="false">
      <c r="G2968" s="25"/>
      <c r="H2968" s="475"/>
      <c r="J2968" s="462"/>
    </row>
    <row r="2969" customFormat="false" ht="12.8" hidden="false" customHeight="false" outlineLevel="0" collapsed="false">
      <c r="G2969" s="25"/>
      <c r="H2969" s="475"/>
      <c r="J2969" s="462"/>
    </row>
    <row r="2970" customFormat="false" ht="12.8" hidden="false" customHeight="false" outlineLevel="0" collapsed="false">
      <c r="G2970" s="25"/>
      <c r="H2970" s="475"/>
      <c r="J2970" s="462"/>
    </row>
    <row r="2971" customFormat="false" ht="12.8" hidden="false" customHeight="false" outlineLevel="0" collapsed="false">
      <c r="G2971" s="25"/>
      <c r="H2971" s="475"/>
      <c r="J2971" s="462"/>
    </row>
    <row r="2972" customFormat="false" ht="12.8" hidden="false" customHeight="false" outlineLevel="0" collapsed="false">
      <c r="G2972" s="25"/>
      <c r="H2972" s="475"/>
      <c r="J2972" s="462"/>
    </row>
    <row r="2973" customFormat="false" ht="12.8" hidden="false" customHeight="false" outlineLevel="0" collapsed="false">
      <c r="G2973" s="25"/>
      <c r="H2973" s="475"/>
      <c r="J2973" s="462"/>
    </row>
    <row r="2974" customFormat="false" ht="12.8" hidden="false" customHeight="false" outlineLevel="0" collapsed="false">
      <c r="G2974" s="25"/>
      <c r="H2974" s="475"/>
      <c r="J2974" s="462"/>
    </row>
    <row r="2975" customFormat="false" ht="12.8" hidden="false" customHeight="false" outlineLevel="0" collapsed="false">
      <c r="G2975" s="25"/>
      <c r="H2975" s="475"/>
      <c r="J2975" s="462"/>
    </row>
    <row r="2976" customFormat="false" ht="12.8" hidden="false" customHeight="false" outlineLevel="0" collapsed="false">
      <c r="G2976" s="25"/>
      <c r="H2976" s="475"/>
      <c r="J2976" s="462"/>
    </row>
    <row r="2977" customFormat="false" ht="12.8" hidden="false" customHeight="false" outlineLevel="0" collapsed="false">
      <c r="G2977" s="25"/>
      <c r="H2977" s="475"/>
      <c r="J2977" s="462"/>
    </row>
    <row r="2978" customFormat="false" ht="12.8" hidden="false" customHeight="false" outlineLevel="0" collapsed="false">
      <c r="G2978" s="25"/>
      <c r="H2978" s="475"/>
      <c r="J2978" s="462"/>
    </row>
    <row r="2979" customFormat="false" ht="12.8" hidden="false" customHeight="false" outlineLevel="0" collapsed="false">
      <c r="G2979" s="25"/>
      <c r="H2979" s="475"/>
      <c r="J2979" s="462"/>
    </row>
    <row r="2980" customFormat="false" ht="12.8" hidden="false" customHeight="false" outlineLevel="0" collapsed="false">
      <c r="G2980" s="25"/>
      <c r="H2980" s="475"/>
      <c r="J2980" s="462"/>
    </row>
    <row r="2981" customFormat="false" ht="12.8" hidden="false" customHeight="false" outlineLevel="0" collapsed="false">
      <c r="G2981" s="25"/>
      <c r="H2981" s="475"/>
      <c r="J2981" s="462"/>
    </row>
    <row r="2982" customFormat="false" ht="12.8" hidden="false" customHeight="false" outlineLevel="0" collapsed="false">
      <c r="G2982" s="25"/>
      <c r="H2982" s="475"/>
      <c r="J2982" s="462"/>
    </row>
    <row r="2983" customFormat="false" ht="12.8" hidden="false" customHeight="false" outlineLevel="0" collapsed="false">
      <c r="G2983" s="25"/>
      <c r="H2983" s="475"/>
      <c r="J2983" s="462"/>
    </row>
    <row r="2984" customFormat="false" ht="12.8" hidden="false" customHeight="false" outlineLevel="0" collapsed="false">
      <c r="G2984" s="25"/>
      <c r="H2984" s="475"/>
      <c r="J2984" s="462"/>
    </row>
    <row r="2985" customFormat="false" ht="12.8" hidden="false" customHeight="false" outlineLevel="0" collapsed="false">
      <c r="G2985" s="25"/>
      <c r="H2985" s="475"/>
      <c r="J2985" s="462"/>
    </row>
    <row r="2986" customFormat="false" ht="12.8" hidden="false" customHeight="false" outlineLevel="0" collapsed="false">
      <c r="G2986" s="25"/>
      <c r="H2986" s="475"/>
      <c r="J2986" s="462"/>
    </row>
    <row r="2987" customFormat="false" ht="12.8" hidden="false" customHeight="false" outlineLevel="0" collapsed="false">
      <c r="G2987" s="25"/>
      <c r="H2987" s="475"/>
      <c r="J2987" s="462"/>
    </row>
    <row r="2988" customFormat="false" ht="12.8" hidden="false" customHeight="false" outlineLevel="0" collapsed="false">
      <c r="G2988" s="25"/>
      <c r="H2988" s="475"/>
      <c r="J2988" s="462"/>
    </row>
    <row r="2989" customFormat="false" ht="12.8" hidden="false" customHeight="false" outlineLevel="0" collapsed="false">
      <c r="G2989" s="25"/>
      <c r="H2989" s="475"/>
      <c r="J2989" s="462"/>
    </row>
    <row r="2990" customFormat="false" ht="12.8" hidden="false" customHeight="false" outlineLevel="0" collapsed="false">
      <c r="G2990" s="25"/>
      <c r="H2990" s="475"/>
      <c r="J2990" s="462"/>
    </row>
    <row r="2991" customFormat="false" ht="12.8" hidden="false" customHeight="false" outlineLevel="0" collapsed="false">
      <c r="G2991" s="25"/>
      <c r="H2991" s="475"/>
    </row>
    <row r="2992" customFormat="false" ht="12.8" hidden="false" customHeight="false" outlineLevel="0" collapsed="false">
      <c r="G2992" s="25"/>
      <c r="H2992" s="475"/>
    </row>
    <row r="2993" customFormat="false" ht="12.8" hidden="false" customHeight="false" outlineLevel="0" collapsed="false">
      <c r="G2993" s="25"/>
      <c r="H2993" s="475"/>
    </row>
    <row r="2994" customFormat="false" ht="12.8" hidden="false" customHeight="false" outlineLevel="0" collapsed="false">
      <c r="G2994" s="25"/>
      <c r="H2994" s="475"/>
    </row>
    <row r="2995" customFormat="false" ht="12.8" hidden="false" customHeight="false" outlineLevel="0" collapsed="false">
      <c r="G2995" s="25"/>
      <c r="H2995" s="475"/>
      <c r="J2995" s="462"/>
    </row>
    <row r="2996" customFormat="false" ht="12.8" hidden="false" customHeight="false" outlineLevel="0" collapsed="false">
      <c r="G2996" s="25"/>
      <c r="H2996" s="475"/>
      <c r="J2996" s="462"/>
    </row>
    <row r="2997" customFormat="false" ht="12.8" hidden="false" customHeight="false" outlineLevel="0" collapsed="false">
      <c r="G2997" s="25"/>
      <c r="H2997" s="475"/>
      <c r="J2997" s="462"/>
    </row>
    <row r="2998" customFormat="false" ht="12.8" hidden="false" customHeight="false" outlineLevel="0" collapsed="false">
      <c r="G2998" s="25"/>
      <c r="H2998" s="475"/>
      <c r="J2998" s="462"/>
    </row>
    <row r="2999" customFormat="false" ht="12.8" hidden="false" customHeight="false" outlineLevel="0" collapsed="false">
      <c r="G2999" s="25"/>
      <c r="H2999" s="475"/>
      <c r="J2999" s="462"/>
    </row>
    <row r="3000" customFormat="false" ht="12.8" hidden="false" customHeight="false" outlineLevel="0" collapsed="false">
      <c r="G3000" s="25"/>
      <c r="H3000" s="475"/>
      <c r="J3000" s="462"/>
    </row>
    <row r="3001" customFormat="false" ht="12.8" hidden="false" customHeight="false" outlineLevel="0" collapsed="false">
      <c r="G3001" s="25"/>
      <c r="H3001" s="475"/>
      <c r="J3001" s="462"/>
    </row>
    <row r="3002" customFormat="false" ht="12.8" hidden="false" customHeight="false" outlineLevel="0" collapsed="false">
      <c r="G3002" s="25"/>
      <c r="H3002" s="475"/>
      <c r="J3002" s="462"/>
    </row>
    <row r="3003" customFormat="false" ht="12.8" hidden="false" customHeight="false" outlineLevel="0" collapsed="false">
      <c r="G3003" s="25"/>
      <c r="H3003" s="475"/>
      <c r="J3003" s="462"/>
    </row>
    <row r="3004" customFormat="false" ht="12.8" hidden="false" customHeight="false" outlineLevel="0" collapsed="false">
      <c r="G3004" s="25"/>
      <c r="H3004" s="475"/>
      <c r="J3004" s="462"/>
    </row>
    <row r="3005" customFormat="false" ht="12.8" hidden="false" customHeight="false" outlineLevel="0" collapsed="false">
      <c r="G3005" s="25"/>
      <c r="H3005" s="475"/>
      <c r="J3005" s="462"/>
    </row>
    <row r="3006" customFormat="false" ht="12.8" hidden="false" customHeight="false" outlineLevel="0" collapsed="false">
      <c r="G3006" s="25"/>
      <c r="H3006" s="475"/>
      <c r="J3006" s="462"/>
    </row>
    <row r="3007" customFormat="false" ht="12.8" hidden="false" customHeight="false" outlineLevel="0" collapsed="false">
      <c r="G3007" s="25"/>
      <c r="H3007" s="475"/>
      <c r="J3007" s="462"/>
    </row>
    <row r="3008" customFormat="false" ht="12.8" hidden="false" customHeight="false" outlineLevel="0" collapsed="false">
      <c r="G3008" s="25"/>
      <c r="H3008" s="475"/>
      <c r="J3008" s="462"/>
    </row>
    <row r="3009" customFormat="false" ht="12.8" hidden="false" customHeight="false" outlineLevel="0" collapsed="false">
      <c r="G3009" s="25"/>
      <c r="H3009" s="475"/>
      <c r="J3009" s="462"/>
    </row>
    <row r="3010" customFormat="false" ht="12.8" hidden="false" customHeight="false" outlineLevel="0" collapsed="false">
      <c r="G3010" s="25"/>
      <c r="H3010" s="475"/>
      <c r="J3010" s="462"/>
    </row>
    <row r="3011" customFormat="false" ht="12.8" hidden="false" customHeight="false" outlineLevel="0" collapsed="false">
      <c r="G3011" s="25"/>
      <c r="H3011" s="475"/>
      <c r="J3011" s="462"/>
    </row>
    <row r="3012" customFormat="false" ht="12.8" hidden="false" customHeight="false" outlineLevel="0" collapsed="false">
      <c r="G3012" s="25"/>
      <c r="H3012" s="475"/>
      <c r="J3012" s="462"/>
    </row>
    <row r="3013" customFormat="false" ht="12.8" hidden="false" customHeight="false" outlineLevel="0" collapsed="false">
      <c r="G3013" s="25"/>
      <c r="H3013" s="475"/>
      <c r="J3013" s="462"/>
    </row>
    <row r="3014" customFormat="false" ht="12.8" hidden="false" customHeight="false" outlineLevel="0" collapsed="false">
      <c r="G3014" s="25"/>
      <c r="H3014" s="475"/>
      <c r="J3014" s="462"/>
    </row>
    <row r="3015" customFormat="false" ht="12.8" hidden="false" customHeight="false" outlineLevel="0" collapsed="false">
      <c r="G3015" s="25"/>
      <c r="H3015" s="475"/>
      <c r="J3015" s="462"/>
    </row>
    <row r="3016" customFormat="false" ht="12.8" hidden="false" customHeight="false" outlineLevel="0" collapsed="false">
      <c r="G3016" s="25"/>
      <c r="H3016" s="475"/>
      <c r="J3016" s="462"/>
    </row>
    <row r="3017" customFormat="false" ht="12.8" hidden="false" customHeight="false" outlineLevel="0" collapsed="false">
      <c r="G3017" s="25"/>
      <c r="H3017" s="475"/>
      <c r="J3017" s="462"/>
    </row>
    <row r="3018" customFormat="false" ht="12.8" hidden="false" customHeight="false" outlineLevel="0" collapsed="false">
      <c r="G3018" s="25"/>
      <c r="H3018" s="475"/>
    </row>
    <row r="3019" customFormat="false" ht="12.8" hidden="false" customHeight="false" outlineLevel="0" collapsed="false">
      <c r="G3019" s="25"/>
      <c r="H3019" s="475"/>
    </row>
    <row r="3020" customFormat="false" ht="12.8" hidden="false" customHeight="false" outlineLevel="0" collapsed="false">
      <c r="G3020" s="25"/>
      <c r="H3020" s="475"/>
      <c r="J3020" s="462"/>
    </row>
    <row r="3021" customFormat="false" ht="12.8" hidden="false" customHeight="false" outlineLevel="0" collapsed="false">
      <c r="G3021" s="25"/>
      <c r="H3021" s="475"/>
      <c r="J3021" s="462"/>
    </row>
    <row r="3022" customFormat="false" ht="12.8" hidden="false" customHeight="false" outlineLevel="0" collapsed="false">
      <c r="G3022" s="25"/>
      <c r="H3022" s="475"/>
      <c r="J3022" s="462"/>
    </row>
    <row r="3023" customFormat="false" ht="12.8" hidden="false" customHeight="false" outlineLevel="0" collapsed="false">
      <c r="G3023" s="25"/>
      <c r="H3023" s="475"/>
    </row>
    <row r="3024" customFormat="false" ht="12.8" hidden="false" customHeight="false" outlineLevel="0" collapsed="false">
      <c r="G3024" s="25"/>
      <c r="H3024" s="475"/>
    </row>
    <row r="3025" customFormat="false" ht="12.8" hidden="false" customHeight="false" outlineLevel="0" collapsed="false">
      <c r="G3025" s="25"/>
      <c r="H3025" s="475"/>
    </row>
    <row r="3026" customFormat="false" ht="12.8" hidden="false" customHeight="false" outlineLevel="0" collapsed="false">
      <c r="G3026" s="25"/>
      <c r="H3026" s="475"/>
    </row>
    <row r="3027" customFormat="false" ht="12.8" hidden="false" customHeight="false" outlineLevel="0" collapsed="false">
      <c r="G3027" s="25"/>
      <c r="H3027" s="475"/>
      <c r="J3027" s="462"/>
    </row>
    <row r="3028" customFormat="false" ht="12.8" hidden="false" customHeight="false" outlineLevel="0" collapsed="false">
      <c r="G3028" s="25"/>
      <c r="H3028" s="475"/>
      <c r="J3028" s="462"/>
    </row>
    <row r="3029" customFormat="false" ht="12.8" hidden="false" customHeight="false" outlineLevel="0" collapsed="false">
      <c r="G3029" s="25"/>
      <c r="H3029" s="475"/>
      <c r="J3029" s="462"/>
    </row>
    <row r="3030" customFormat="false" ht="12.8" hidden="false" customHeight="false" outlineLevel="0" collapsed="false">
      <c r="G3030" s="25"/>
      <c r="H3030" s="475"/>
    </row>
    <row r="3031" customFormat="false" ht="12.8" hidden="false" customHeight="false" outlineLevel="0" collapsed="false">
      <c r="G3031" s="25"/>
      <c r="H3031" s="475"/>
    </row>
    <row r="3032" customFormat="false" ht="12.8" hidden="false" customHeight="false" outlineLevel="0" collapsed="false">
      <c r="G3032" s="25"/>
      <c r="H3032" s="475"/>
    </row>
    <row r="3033" customFormat="false" ht="12.8" hidden="false" customHeight="false" outlineLevel="0" collapsed="false">
      <c r="G3033" s="25"/>
      <c r="H3033" s="475"/>
      <c r="J3033" s="462"/>
    </row>
    <row r="3034" customFormat="false" ht="12.8" hidden="false" customHeight="false" outlineLevel="0" collapsed="false">
      <c r="G3034" s="25"/>
      <c r="H3034" s="475"/>
      <c r="J3034" s="462"/>
    </row>
    <row r="3035" customFormat="false" ht="12.8" hidden="false" customHeight="false" outlineLevel="0" collapsed="false">
      <c r="G3035" s="25"/>
      <c r="H3035" s="475"/>
      <c r="J3035" s="462"/>
    </row>
    <row r="3036" customFormat="false" ht="12.8" hidden="false" customHeight="false" outlineLevel="0" collapsed="false">
      <c r="G3036" s="25"/>
      <c r="H3036" s="475"/>
    </row>
    <row r="3037" customFormat="false" ht="12.8" hidden="false" customHeight="false" outlineLevel="0" collapsed="false">
      <c r="G3037" s="25"/>
      <c r="H3037" s="475"/>
    </row>
    <row r="3038" customFormat="false" ht="12.8" hidden="false" customHeight="false" outlineLevel="0" collapsed="false">
      <c r="G3038" s="25"/>
      <c r="H3038" s="475"/>
      <c r="J3038" s="462"/>
    </row>
    <row r="3039" customFormat="false" ht="12.8" hidden="false" customHeight="false" outlineLevel="0" collapsed="false">
      <c r="G3039" s="25"/>
      <c r="H3039" s="475"/>
      <c r="J3039" s="462"/>
    </row>
    <row r="3040" customFormat="false" ht="12.8" hidden="false" customHeight="false" outlineLevel="0" collapsed="false">
      <c r="G3040" s="25"/>
      <c r="H3040" s="475"/>
      <c r="J3040" s="462"/>
    </row>
    <row r="3041" customFormat="false" ht="12.8" hidden="false" customHeight="false" outlineLevel="0" collapsed="false">
      <c r="G3041" s="25"/>
      <c r="H3041" s="475"/>
      <c r="J3041" s="462"/>
    </row>
    <row r="3042" customFormat="false" ht="12.8" hidden="false" customHeight="false" outlineLevel="0" collapsed="false">
      <c r="G3042" s="25"/>
      <c r="H3042" s="475"/>
      <c r="J3042" s="462"/>
    </row>
    <row r="3043" customFormat="false" ht="12.8" hidden="false" customHeight="false" outlineLevel="0" collapsed="false">
      <c r="G3043" s="25"/>
      <c r="H3043" s="475"/>
      <c r="J3043" s="462"/>
    </row>
    <row r="3044" customFormat="false" ht="12.8" hidden="false" customHeight="false" outlineLevel="0" collapsed="false">
      <c r="G3044" s="25"/>
      <c r="H3044" s="475"/>
    </row>
    <row r="3045" customFormat="false" ht="12.8" hidden="false" customHeight="false" outlineLevel="0" collapsed="false">
      <c r="G3045" s="25"/>
      <c r="H3045" s="475"/>
    </row>
    <row r="3046" customFormat="false" ht="12.8" hidden="false" customHeight="false" outlineLevel="0" collapsed="false">
      <c r="G3046" s="25"/>
      <c r="H3046" s="475"/>
    </row>
    <row r="3047" customFormat="false" ht="12.8" hidden="false" customHeight="false" outlineLevel="0" collapsed="false">
      <c r="G3047" s="25"/>
      <c r="H3047" s="475"/>
      <c r="J3047" s="462"/>
    </row>
    <row r="3048" customFormat="false" ht="12.8" hidden="false" customHeight="false" outlineLevel="0" collapsed="false">
      <c r="G3048" s="25"/>
      <c r="H3048" s="475"/>
      <c r="J3048" s="462"/>
    </row>
    <row r="3049" customFormat="false" ht="12.8" hidden="false" customHeight="false" outlineLevel="0" collapsed="false">
      <c r="G3049" s="25"/>
      <c r="H3049" s="475"/>
      <c r="J3049" s="462"/>
    </row>
    <row r="3050" customFormat="false" ht="12.8" hidden="false" customHeight="false" outlineLevel="0" collapsed="false">
      <c r="G3050" s="25"/>
      <c r="H3050" s="475"/>
      <c r="J3050" s="462"/>
    </row>
    <row r="3051" customFormat="false" ht="12.8" hidden="false" customHeight="false" outlineLevel="0" collapsed="false">
      <c r="G3051" s="25"/>
      <c r="H3051" s="475"/>
      <c r="J3051" s="462"/>
    </row>
    <row r="3052" customFormat="false" ht="12.8" hidden="false" customHeight="false" outlineLevel="0" collapsed="false">
      <c r="G3052" s="25"/>
      <c r="H3052" s="475"/>
      <c r="J3052" s="462"/>
    </row>
    <row r="3053" customFormat="false" ht="12.8" hidden="false" customHeight="false" outlineLevel="0" collapsed="false">
      <c r="G3053" s="25"/>
      <c r="H3053" s="475"/>
    </row>
    <row r="3054" customFormat="false" ht="12.8" hidden="false" customHeight="false" outlineLevel="0" collapsed="false">
      <c r="G3054" s="25"/>
      <c r="H3054" s="475"/>
    </row>
    <row r="3055" customFormat="false" ht="12.8" hidden="false" customHeight="false" outlineLevel="0" collapsed="false">
      <c r="G3055" s="25"/>
      <c r="H3055" s="475"/>
    </row>
    <row r="3056" customFormat="false" ht="12.8" hidden="false" customHeight="false" outlineLevel="0" collapsed="false">
      <c r="G3056" s="25"/>
      <c r="H3056" s="475"/>
      <c r="J3056" s="462"/>
    </row>
    <row r="3057" customFormat="false" ht="12.8" hidden="false" customHeight="false" outlineLevel="0" collapsed="false">
      <c r="G3057" s="25"/>
      <c r="H3057" s="475"/>
      <c r="J3057" s="462"/>
    </row>
    <row r="3058" customFormat="false" ht="12.8" hidden="false" customHeight="false" outlineLevel="0" collapsed="false">
      <c r="G3058" s="25"/>
      <c r="H3058" s="475"/>
      <c r="J3058" s="462"/>
    </row>
    <row r="3059" customFormat="false" ht="12.8" hidden="false" customHeight="false" outlineLevel="0" collapsed="false">
      <c r="G3059" s="25"/>
      <c r="H3059" s="475"/>
      <c r="J3059" s="462"/>
    </row>
    <row r="3060" customFormat="false" ht="12.8" hidden="false" customHeight="false" outlineLevel="0" collapsed="false">
      <c r="G3060" s="25"/>
      <c r="H3060" s="475"/>
    </row>
    <row r="3061" customFormat="false" ht="12.8" hidden="false" customHeight="false" outlineLevel="0" collapsed="false">
      <c r="G3061" s="25"/>
      <c r="H3061" s="475"/>
    </row>
    <row r="3062" customFormat="false" ht="12.8" hidden="false" customHeight="false" outlineLevel="0" collapsed="false">
      <c r="G3062" s="25"/>
      <c r="H3062" s="475"/>
    </row>
    <row r="3063" customFormat="false" ht="12.8" hidden="false" customHeight="false" outlineLevel="0" collapsed="false">
      <c r="G3063" s="25"/>
      <c r="H3063" s="475"/>
    </row>
    <row r="3064" customFormat="false" ht="12.8" hidden="false" customHeight="false" outlineLevel="0" collapsed="false">
      <c r="G3064" s="25"/>
      <c r="H3064" s="475"/>
    </row>
    <row r="3065" customFormat="false" ht="12.8" hidden="false" customHeight="false" outlineLevel="0" collapsed="false">
      <c r="G3065" s="25"/>
      <c r="H3065" s="475"/>
    </row>
    <row r="3066" customFormat="false" ht="12.8" hidden="false" customHeight="false" outlineLevel="0" collapsed="false">
      <c r="G3066" s="25"/>
      <c r="H3066" s="475"/>
    </row>
    <row r="3067" customFormat="false" ht="12.8" hidden="false" customHeight="false" outlineLevel="0" collapsed="false">
      <c r="G3067" s="25"/>
      <c r="H3067" s="475"/>
    </row>
    <row r="3068" customFormat="false" ht="12.8" hidden="false" customHeight="false" outlineLevel="0" collapsed="false">
      <c r="G3068" s="25"/>
      <c r="H3068" s="475"/>
      <c r="J3068" s="462"/>
    </row>
    <row r="3069" customFormat="false" ht="12.8" hidden="false" customHeight="false" outlineLevel="0" collapsed="false">
      <c r="G3069" s="25"/>
      <c r="H3069" s="475"/>
      <c r="J3069" s="462"/>
    </row>
    <row r="3070" customFormat="false" ht="12.8" hidden="false" customHeight="false" outlineLevel="0" collapsed="false">
      <c r="G3070" s="25"/>
      <c r="H3070" s="475"/>
      <c r="J3070" s="462"/>
    </row>
    <row r="3071" customFormat="false" ht="12.8" hidden="false" customHeight="false" outlineLevel="0" collapsed="false">
      <c r="G3071" s="25"/>
      <c r="H3071" s="475"/>
    </row>
    <row r="3072" customFormat="false" ht="12.8" hidden="false" customHeight="false" outlineLevel="0" collapsed="false">
      <c r="G3072" s="25"/>
      <c r="H3072" s="475"/>
    </row>
    <row r="3073" customFormat="false" ht="12.8" hidden="false" customHeight="false" outlineLevel="0" collapsed="false">
      <c r="G3073" s="25"/>
      <c r="H3073" s="475"/>
    </row>
    <row r="3074" customFormat="false" ht="12.8" hidden="false" customHeight="false" outlineLevel="0" collapsed="false">
      <c r="G3074" s="25"/>
      <c r="H3074" s="475"/>
    </row>
    <row r="3075" customFormat="false" ht="12.8" hidden="false" customHeight="false" outlineLevel="0" collapsed="false">
      <c r="G3075" s="25"/>
      <c r="H3075" s="475"/>
    </row>
    <row r="3076" customFormat="false" ht="12.8" hidden="false" customHeight="false" outlineLevel="0" collapsed="false">
      <c r="G3076" s="25"/>
      <c r="H3076" s="475"/>
      <c r="J3076" s="462"/>
    </row>
    <row r="3077" customFormat="false" ht="12.8" hidden="false" customHeight="false" outlineLevel="0" collapsed="false">
      <c r="G3077" s="25"/>
      <c r="H3077" s="475"/>
    </row>
    <row r="3078" customFormat="false" ht="12.8" hidden="false" customHeight="false" outlineLevel="0" collapsed="false">
      <c r="G3078" s="25"/>
      <c r="H3078" s="475"/>
      <c r="J3078" s="462"/>
    </row>
    <row r="3079" customFormat="false" ht="12.8" hidden="false" customHeight="false" outlineLevel="0" collapsed="false">
      <c r="G3079" s="25"/>
      <c r="H3079" s="475"/>
      <c r="J3079" s="462"/>
    </row>
    <row r="3080" customFormat="false" ht="12.8" hidden="false" customHeight="false" outlineLevel="0" collapsed="false">
      <c r="G3080" s="25"/>
      <c r="H3080" s="475"/>
    </row>
    <row r="3081" customFormat="false" ht="12.8" hidden="false" customHeight="false" outlineLevel="0" collapsed="false">
      <c r="G3081" s="25"/>
      <c r="H3081" s="475"/>
    </row>
    <row r="3082" customFormat="false" ht="12.8" hidden="false" customHeight="false" outlineLevel="0" collapsed="false">
      <c r="G3082" s="25"/>
      <c r="H3082" s="475"/>
      <c r="J3082" s="462"/>
    </row>
    <row r="3083" customFormat="false" ht="12.8" hidden="false" customHeight="false" outlineLevel="0" collapsed="false">
      <c r="G3083" s="25"/>
      <c r="H3083" s="475"/>
      <c r="J3083" s="462"/>
    </row>
    <row r="3084" customFormat="false" ht="12.8" hidden="false" customHeight="false" outlineLevel="0" collapsed="false">
      <c r="G3084" s="25"/>
      <c r="H3084" s="475"/>
      <c r="J3084" s="462"/>
    </row>
    <row r="3085" customFormat="false" ht="12.8" hidden="false" customHeight="false" outlineLevel="0" collapsed="false">
      <c r="G3085" s="25"/>
      <c r="H3085" s="475"/>
      <c r="J3085" s="462"/>
    </row>
    <row r="3086" customFormat="false" ht="12.8" hidden="false" customHeight="false" outlineLevel="0" collapsed="false">
      <c r="G3086" s="25"/>
      <c r="H3086" s="475"/>
      <c r="J3086" s="462"/>
    </row>
    <row r="3087" customFormat="false" ht="12.8" hidden="false" customHeight="false" outlineLevel="0" collapsed="false">
      <c r="G3087" s="25"/>
      <c r="H3087" s="475"/>
      <c r="J3087" s="462"/>
    </row>
    <row r="3088" customFormat="false" ht="12.8" hidden="false" customHeight="false" outlineLevel="0" collapsed="false">
      <c r="G3088" s="25"/>
      <c r="H3088" s="475"/>
      <c r="J3088" s="462"/>
    </row>
    <row r="3089" customFormat="false" ht="12.8" hidden="false" customHeight="false" outlineLevel="0" collapsed="false">
      <c r="G3089" s="25"/>
      <c r="H3089" s="475"/>
      <c r="J3089" s="462"/>
    </row>
    <row r="3090" customFormat="false" ht="12.8" hidden="false" customHeight="false" outlineLevel="0" collapsed="false">
      <c r="G3090" s="25"/>
      <c r="H3090" s="475"/>
      <c r="J3090" s="462"/>
    </row>
    <row r="3091" customFormat="false" ht="12.8" hidden="false" customHeight="false" outlineLevel="0" collapsed="false">
      <c r="G3091" s="25"/>
      <c r="H3091" s="475"/>
      <c r="J3091" s="462"/>
    </row>
    <row r="3092" customFormat="false" ht="12.8" hidden="false" customHeight="false" outlineLevel="0" collapsed="false">
      <c r="G3092" s="25"/>
      <c r="H3092" s="475"/>
      <c r="J3092" s="462"/>
    </row>
    <row r="3093" customFormat="false" ht="12.8" hidden="false" customHeight="false" outlineLevel="0" collapsed="false">
      <c r="G3093" s="25"/>
      <c r="H3093" s="475"/>
      <c r="J3093" s="462"/>
    </row>
    <row r="3094" customFormat="false" ht="12.8" hidden="false" customHeight="false" outlineLevel="0" collapsed="false">
      <c r="G3094" s="25"/>
      <c r="H3094" s="475"/>
      <c r="J3094" s="462"/>
    </row>
    <row r="3095" customFormat="false" ht="12.8" hidden="false" customHeight="false" outlineLevel="0" collapsed="false">
      <c r="G3095" s="25"/>
      <c r="H3095" s="475"/>
      <c r="J3095" s="462"/>
    </row>
    <row r="3096" customFormat="false" ht="12.8" hidden="false" customHeight="false" outlineLevel="0" collapsed="false">
      <c r="G3096" s="25"/>
      <c r="H3096" s="475"/>
      <c r="J3096" s="462"/>
    </row>
    <row r="3097" customFormat="false" ht="12.8" hidden="false" customHeight="false" outlineLevel="0" collapsed="false">
      <c r="G3097" s="25"/>
      <c r="H3097" s="475"/>
      <c r="J3097" s="462"/>
    </row>
    <row r="3098" customFormat="false" ht="12.8" hidden="false" customHeight="false" outlineLevel="0" collapsed="false">
      <c r="G3098" s="25"/>
      <c r="H3098" s="475"/>
      <c r="J3098" s="462"/>
    </row>
    <row r="3099" customFormat="false" ht="12.8" hidden="false" customHeight="false" outlineLevel="0" collapsed="false">
      <c r="G3099" s="25"/>
      <c r="H3099" s="475"/>
    </row>
    <row r="3100" customFormat="false" ht="12.8" hidden="false" customHeight="false" outlineLevel="0" collapsed="false">
      <c r="G3100" s="25"/>
      <c r="H3100" s="475"/>
    </row>
    <row r="3101" customFormat="false" ht="12.8" hidden="false" customHeight="false" outlineLevel="0" collapsed="false">
      <c r="G3101" s="25"/>
      <c r="H3101" s="475"/>
    </row>
    <row r="3102" customFormat="false" ht="12.8" hidden="false" customHeight="false" outlineLevel="0" collapsed="false">
      <c r="G3102" s="25"/>
      <c r="H3102" s="475"/>
    </row>
    <row r="3103" customFormat="false" ht="12.8" hidden="false" customHeight="false" outlineLevel="0" collapsed="false">
      <c r="G3103" s="25"/>
      <c r="H3103" s="475"/>
    </row>
    <row r="3104" customFormat="false" ht="12.8" hidden="false" customHeight="false" outlineLevel="0" collapsed="false">
      <c r="G3104" s="25"/>
      <c r="H3104" s="475"/>
    </row>
    <row r="3105" customFormat="false" ht="12.8" hidden="false" customHeight="false" outlineLevel="0" collapsed="false">
      <c r="G3105" s="25"/>
      <c r="H3105" s="475"/>
    </row>
    <row r="3106" customFormat="false" ht="12.8" hidden="false" customHeight="false" outlineLevel="0" collapsed="false">
      <c r="G3106" s="25"/>
      <c r="H3106" s="475"/>
      <c r="J3106" s="462"/>
    </row>
    <row r="3107" customFormat="false" ht="12.8" hidden="false" customHeight="false" outlineLevel="0" collapsed="false">
      <c r="G3107" s="25"/>
      <c r="H3107" s="475"/>
      <c r="J3107" s="462"/>
    </row>
    <row r="3108" customFormat="false" ht="12.8" hidden="false" customHeight="false" outlineLevel="0" collapsed="false">
      <c r="G3108" s="25"/>
      <c r="H3108" s="475"/>
      <c r="J3108" s="462"/>
    </row>
    <row r="3109" customFormat="false" ht="12.8" hidden="false" customHeight="false" outlineLevel="0" collapsed="false">
      <c r="G3109" s="25"/>
      <c r="H3109" s="475"/>
      <c r="J3109" s="462"/>
    </row>
    <row r="3110" customFormat="false" ht="12.8" hidden="false" customHeight="false" outlineLevel="0" collapsed="false">
      <c r="G3110" s="25"/>
      <c r="H3110" s="475"/>
      <c r="J3110" s="462"/>
    </row>
    <row r="3111" customFormat="false" ht="12.8" hidden="false" customHeight="false" outlineLevel="0" collapsed="false">
      <c r="G3111" s="25"/>
      <c r="H3111" s="475"/>
      <c r="J3111" s="462"/>
    </row>
    <row r="3112" customFormat="false" ht="12.8" hidden="false" customHeight="false" outlineLevel="0" collapsed="false">
      <c r="G3112" s="25"/>
      <c r="H3112" s="475"/>
      <c r="J3112" s="462"/>
    </row>
    <row r="3113" customFormat="false" ht="12.8" hidden="false" customHeight="false" outlineLevel="0" collapsed="false">
      <c r="G3113" s="25"/>
      <c r="H3113" s="475"/>
      <c r="J3113" s="462"/>
    </row>
    <row r="3114" customFormat="false" ht="12.8" hidden="false" customHeight="false" outlineLevel="0" collapsed="false">
      <c r="G3114" s="25"/>
      <c r="H3114" s="475"/>
      <c r="J3114" s="462"/>
    </row>
    <row r="3115" customFormat="false" ht="12.8" hidden="false" customHeight="false" outlineLevel="0" collapsed="false">
      <c r="G3115" s="25"/>
      <c r="H3115" s="475"/>
      <c r="J3115" s="462"/>
    </row>
    <row r="3116" customFormat="false" ht="12.8" hidden="false" customHeight="false" outlineLevel="0" collapsed="false">
      <c r="G3116" s="25"/>
      <c r="H3116" s="475"/>
      <c r="J3116" s="462"/>
    </row>
    <row r="3117" customFormat="false" ht="12.8" hidden="false" customHeight="false" outlineLevel="0" collapsed="false">
      <c r="G3117" s="25"/>
      <c r="H3117" s="475"/>
      <c r="J3117" s="462"/>
    </row>
    <row r="3118" customFormat="false" ht="12.8" hidden="false" customHeight="false" outlineLevel="0" collapsed="false">
      <c r="G3118" s="25"/>
      <c r="H3118" s="475"/>
      <c r="J3118" s="462"/>
    </row>
    <row r="3119" customFormat="false" ht="12.8" hidden="false" customHeight="false" outlineLevel="0" collapsed="false">
      <c r="G3119" s="25"/>
      <c r="H3119" s="475"/>
      <c r="J3119" s="462"/>
    </row>
    <row r="3120" customFormat="false" ht="12.8" hidden="false" customHeight="false" outlineLevel="0" collapsed="false">
      <c r="G3120" s="25"/>
      <c r="H3120" s="475"/>
      <c r="J3120" s="462"/>
    </row>
    <row r="3121" customFormat="false" ht="12.8" hidden="false" customHeight="false" outlineLevel="0" collapsed="false">
      <c r="G3121" s="25"/>
      <c r="H3121" s="475"/>
      <c r="J3121" s="462"/>
    </row>
    <row r="3122" customFormat="false" ht="12.8" hidden="false" customHeight="false" outlineLevel="0" collapsed="false">
      <c r="G3122" s="25"/>
      <c r="H3122" s="475"/>
      <c r="J3122" s="462"/>
    </row>
    <row r="3123" customFormat="false" ht="12.8" hidden="false" customHeight="false" outlineLevel="0" collapsed="false">
      <c r="G3123" s="25"/>
      <c r="H3123" s="475"/>
      <c r="J3123" s="462"/>
    </row>
    <row r="3124" customFormat="false" ht="12.8" hidden="false" customHeight="false" outlineLevel="0" collapsed="false">
      <c r="G3124" s="25"/>
      <c r="H3124" s="475"/>
      <c r="J3124" s="462"/>
    </row>
    <row r="3125" customFormat="false" ht="12.8" hidden="false" customHeight="false" outlineLevel="0" collapsed="false">
      <c r="G3125" s="25"/>
      <c r="H3125" s="475"/>
      <c r="J3125" s="462"/>
    </row>
    <row r="3126" customFormat="false" ht="12.8" hidden="false" customHeight="false" outlineLevel="0" collapsed="false">
      <c r="G3126" s="25"/>
      <c r="H3126" s="475"/>
      <c r="J3126" s="462"/>
    </row>
    <row r="3127" customFormat="false" ht="12.8" hidden="false" customHeight="false" outlineLevel="0" collapsed="false">
      <c r="G3127" s="25"/>
      <c r="H3127" s="475"/>
    </row>
    <row r="3128" customFormat="false" ht="12.8" hidden="false" customHeight="false" outlineLevel="0" collapsed="false">
      <c r="G3128" s="25"/>
      <c r="H3128" s="475"/>
      <c r="J3128" s="462"/>
    </row>
    <row r="3129" customFormat="false" ht="12.8" hidden="false" customHeight="false" outlineLevel="0" collapsed="false">
      <c r="G3129" s="25"/>
      <c r="H3129" s="475"/>
      <c r="J3129" s="462"/>
    </row>
    <row r="3130" customFormat="false" ht="12.8" hidden="false" customHeight="false" outlineLevel="0" collapsed="false">
      <c r="G3130" s="25"/>
      <c r="H3130" s="475"/>
      <c r="J3130" s="462"/>
    </row>
    <row r="3131" customFormat="false" ht="12.8" hidden="false" customHeight="false" outlineLevel="0" collapsed="false">
      <c r="G3131" s="25"/>
      <c r="H3131" s="475"/>
      <c r="J3131" s="462"/>
    </row>
    <row r="3132" customFormat="false" ht="12.8" hidden="false" customHeight="false" outlineLevel="0" collapsed="false">
      <c r="G3132" s="25"/>
      <c r="H3132" s="475"/>
      <c r="J3132" s="462"/>
    </row>
    <row r="3133" customFormat="false" ht="12.8" hidden="false" customHeight="false" outlineLevel="0" collapsed="false">
      <c r="G3133" s="25"/>
      <c r="H3133" s="475"/>
      <c r="J3133" s="462"/>
    </row>
    <row r="3134" customFormat="false" ht="12.8" hidden="false" customHeight="false" outlineLevel="0" collapsed="false">
      <c r="G3134" s="25"/>
      <c r="H3134" s="475"/>
      <c r="J3134" s="462"/>
    </row>
    <row r="3135" customFormat="false" ht="12.8" hidden="false" customHeight="false" outlineLevel="0" collapsed="false">
      <c r="G3135" s="25"/>
      <c r="H3135" s="475"/>
      <c r="J3135" s="462"/>
    </row>
    <row r="3136" customFormat="false" ht="12.8" hidden="false" customHeight="false" outlineLevel="0" collapsed="false">
      <c r="G3136" s="25"/>
      <c r="H3136" s="475"/>
      <c r="J3136" s="462"/>
    </row>
    <row r="3137" customFormat="false" ht="12.8" hidden="false" customHeight="false" outlineLevel="0" collapsed="false">
      <c r="G3137" s="25"/>
      <c r="H3137" s="475"/>
      <c r="J3137" s="462"/>
    </row>
    <row r="3138" customFormat="false" ht="12.8" hidden="false" customHeight="false" outlineLevel="0" collapsed="false">
      <c r="G3138" s="25"/>
      <c r="H3138" s="475"/>
      <c r="J3138" s="462"/>
    </row>
    <row r="3139" customFormat="false" ht="12.8" hidden="false" customHeight="false" outlineLevel="0" collapsed="false">
      <c r="G3139" s="25"/>
      <c r="H3139" s="475"/>
      <c r="J3139" s="462"/>
    </row>
    <row r="3140" customFormat="false" ht="12.8" hidden="false" customHeight="false" outlineLevel="0" collapsed="false">
      <c r="G3140" s="25"/>
      <c r="H3140" s="475"/>
      <c r="J3140" s="462"/>
    </row>
    <row r="3141" customFormat="false" ht="12.8" hidden="false" customHeight="false" outlineLevel="0" collapsed="false">
      <c r="G3141" s="25"/>
      <c r="H3141" s="475"/>
      <c r="J3141" s="462"/>
    </row>
    <row r="3142" customFormat="false" ht="12.8" hidden="false" customHeight="false" outlineLevel="0" collapsed="false">
      <c r="G3142" s="25"/>
      <c r="H3142" s="475"/>
      <c r="J3142" s="462"/>
    </row>
    <row r="3143" customFormat="false" ht="12.8" hidden="false" customHeight="false" outlineLevel="0" collapsed="false">
      <c r="G3143" s="25"/>
      <c r="H3143" s="475"/>
      <c r="J3143" s="462"/>
    </row>
    <row r="3144" customFormat="false" ht="12.8" hidden="false" customHeight="false" outlineLevel="0" collapsed="false">
      <c r="G3144" s="25"/>
      <c r="H3144" s="475"/>
      <c r="J3144" s="462"/>
    </row>
    <row r="3145" customFormat="false" ht="12.8" hidden="false" customHeight="false" outlineLevel="0" collapsed="false">
      <c r="G3145" s="25"/>
      <c r="H3145" s="475"/>
      <c r="J3145" s="462"/>
    </row>
    <row r="3146" customFormat="false" ht="12.8" hidden="false" customHeight="false" outlineLevel="0" collapsed="false">
      <c r="G3146" s="25"/>
      <c r="H3146" s="475"/>
      <c r="J3146" s="462"/>
    </row>
    <row r="3147" customFormat="false" ht="12.8" hidden="false" customHeight="false" outlineLevel="0" collapsed="false">
      <c r="G3147" s="25"/>
      <c r="H3147" s="475"/>
      <c r="J3147" s="462"/>
    </row>
    <row r="3148" customFormat="false" ht="12.8" hidden="false" customHeight="false" outlineLevel="0" collapsed="false">
      <c r="G3148" s="25"/>
      <c r="H3148" s="475"/>
      <c r="J3148" s="462"/>
    </row>
    <row r="3149" customFormat="false" ht="12.8" hidden="false" customHeight="false" outlineLevel="0" collapsed="false">
      <c r="G3149" s="25"/>
      <c r="H3149" s="475"/>
      <c r="J3149" s="462"/>
    </row>
    <row r="3150" customFormat="false" ht="12.8" hidden="false" customHeight="false" outlineLevel="0" collapsed="false">
      <c r="G3150" s="25"/>
      <c r="H3150" s="475"/>
      <c r="J3150" s="462"/>
    </row>
    <row r="3151" customFormat="false" ht="12.8" hidden="false" customHeight="false" outlineLevel="0" collapsed="false">
      <c r="G3151" s="25"/>
      <c r="H3151" s="475"/>
      <c r="J3151" s="462"/>
    </row>
    <row r="3152" customFormat="false" ht="12.8" hidden="false" customHeight="false" outlineLevel="0" collapsed="false">
      <c r="G3152" s="25"/>
      <c r="H3152" s="475"/>
      <c r="J3152" s="462"/>
    </row>
    <row r="3153" customFormat="false" ht="12.8" hidden="false" customHeight="false" outlineLevel="0" collapsed="false">
      <c r="G3153" s="25"/>
      <c r="H3153" s="475"/>
      <c r="J3153" s="462"/>
    </row>
    <row r="3154" customFormat="false" ht="12.8" hidden="false" customHeight="false" outlineLevel="0" collapsed="false">
      <c r="G3154" s="25"/>
      <c r="H3154" s="475"/>
      <c r="J3154" s="462"/>
    </row>
    <row r="3155" customFormat="false" ht="12.8" hidden="false" customHeight="false" outlineLevel="0" collapsed="false">
      <c r="G3155" s="25"/>
      <c r="H3155" s="475"/>
    </row>
    <row r="3156" customFormat="false" ht="12.8" hidden="false" customHeight="false" outlineLevel="0" collapsed="false">
      <c r="G3156" s="25"/>
      <c r="H3156" s="475"/>
      <c r="J3156" s="462"/>
    </row>
    <row r="3157" customFormat="false" ht="12.8" hidden="false" customHeight="false" outlineLevel="0" collapsed="false">
      <c r="G3157" s="25"/>
      <c r="H3157" s="475"/>
      <c r="J3157" s="462"/>
    </row>
    <row r="3158" customFormat="false" ht="12.8" hidden="false" customHeight="false" outlineLevel="0" collapsed="false">
      <c r="G3158" s="25"/>
      <c r="H3158" s="475"/>
      <c r="J3158" s="462"/>
    </row>
    <row r="3159" customFormat="false" ht="12.8" hidden="false" customHeight="false" outlineLevel="0" collapsed="false">
      <c r="G3159" s="25"/>
      <c r="H3159" s="475"/>
      <c r="J3159" s="462"/>
    </row>
    <row r="3160" customFormat="false" ht="12.8" hidden="false" customHeight="false" outlineLevel="0" collapsed="false">
      <c r="G3160" s="25"/>
      <c r="H3160" s="475"/>
    </row>
    <row r="3161" customFormat="false" ht="12.8" hidden="false" customHeight="false" outlineLevel="0" collapsed="false">
      <c r="G3161" s="25"/>
      <c r="H3161" s="475"/>
      <c r="J3161" s="462"/>
    </row>
    <row r="3162" customFormat="false" ht="12.8" hidden="false" customHeight="false" outlineLevel="0" collapsed="false">
      <c r="G3162" s="25"/>
      <c r="H3162" s="475"/>
      <c r="J3162" s="462"/>
    </row>
    <row r="3163" customFormat="false" ht="12.8" hidden="false" customHeight="false" outlineLevel="0" collapsed="false">
      <c r="G3163" s="25"/>
      <c r="H3163" s="475"/>
      <c r="J3163" s="462"/>
    </row>
    <row r="3164" customFormat="false" ht="12.8" hidden="false" customHeight="false" outlineLevel="0" collapsed="false">
      <c r="G3164" s="25"/>
      <c r="H3164" s="475"/>
      <c r="J3164" s="462"/>
    </row>
    <row r="3165" customFormat="false" ht="12.8" hidden="false" customHeight="false" outlineLevel="0" collapsed="false">
      <c r="G3165" s="25"/>
      <c r="H3165" s="475"/>
    </row>
    <row r="3166" customFormat="false" ht="12.8" hidden="false" customHeight="false" outlineLevel="0" collapsed="false">
      <c r="G3166" s="25"/>
      <c r="H3166" s="475"/>
      <c r="J3166" s="462"/>
    </row>
    <row r="3167" customFormat="false" ht="12.8" hidden="false" customHeight="false" outlineLevel="0" collapsed="false">
      <c r="G3167" s="25"/>
      <c r="H3167" s="475"/>
      <c r="J3167" s="462"/>
    </row>
    <row r="3168" customFormat="false" ht="12.8" hidden="false" customHeight="false" outlineLevel="0" collapsed="false">
      <c r="G3168" s="25"/>
      <c r="H3168" s="475"/>
      <c r="J3168" s="462"/>
    </row>
    <row r="3169" customFormat="false" ht="12.8" hidden="false" customHeight="false" outlineLevel="0" collapsed="false">
      <c r="G3169" s="25"/>
      <c r="H3169" s="475"/>
      <c r="J3169" s="462"/>
    </row>
    <row r="3170" customFormat="false" ht="12.8" hidden="false" customHeight="false" outlineLevel="0" collapsed="false">
      <c r="G3170" s="25"/>
      <c r="H3170" s="475"/>
    </row>
    <row r="3171" customFormat="false" ht="12.8" hidden="false" customHeight="false" outlineLevel="0" collapsed="false">
      <c r="G3171" s="25"/>
      <c r="H3171" s="475"/>
      <c r="J3171" s="462"/>
    </row>
    <row r="3172" customFormat="false" ht="12.8" hidden="false" customHeight="false" outlineLevel="0" collapsed="false">
      <c r="G3172" s="25"/>
      <c r="H3172" s="475"/>
      <c r="J3172" s="462"/>
    </row>
    <row r="3173" customFormat="false" ht="12.8" hidden="false" customHeight="false" outlineLevel="0" collapsed="false">
      <c r="F3173" s="58"/>
      <c r="G3173" s="25"/>
      <c r="H3173" s="475"/>
      <c r="J3173" s="462"/>
    </row>
    <row r="3174" customFormat="false" ht="12.8" hidden="false" customHeight="false" outlineLevel="0" collapsed="false">
      <c r="F3174" s="59"/>
      <c r="G3174" s="25"/>
      <c r="H3174" s="475"/>
      <c r="J3174" s="462"/>
    </row>
    <row r="3175" customFormat="false" ht="12.8" hidden="false" customHeight="false" outlineLevel="0" collapsed="false">
      <c r="G3175" s="25"/>
      <c r="H3175" s="475"/>
    </row>
    <row r="3176" customFormat="false" ht="12.8" hidden="false" customHeight="false" outlineLevel="0" collapsed="false">
      <c r="G3176" s="25"/>
      <c r="H3176" s="475"/>
      <c r="J3176" s="462"/>
    </row>
    <row r="3177" customFormat="false" ht="12.8" hidden="false" customHeight="false" outlineLevel="0" collapsed="false">
      <c r="G3177" s="25"/>
      <c r="H3177" s="475"/>
      <c r="J3177" s="462"/>
    </row>
    <row r="3178" customFormat="false" ht="12.8" hidden="false" customHeight="false" outlineLevel="0" collapsed="false">
      <c r="G3178" s="25"/>
      <c r="H3178" s="475"/>
    </row>
    <row r="3179" customFormat="false" ht="12.8" hidden="false" customHeight="false" outlineLevel="0" collapsed="false">
      <c r="G3179" s="25"/>
      <c r="H3179" s="475"/>
      <c r="J3179" s="462"/>
    </row>
    <row r="3180" customFormat="false" ht="12.8" hidden="false" customHeight="false" outlineLevel="0" collapsed="false">
      <c r="G3180" s="25"/>
      <c r="H3180" s="475"/>
      <c r="J3180" s="462"/>
    </row>
    <row r="3181" customFormat="false" ht="12.8" hidden="false" customHeight="false" outlineLevel="0" collapsed="false">
      <c r="G3181" s="25"/>
      <c r="H3181" s="475"/>
      <c r="J3181" s="462"/>
    </row>
    <row r="3182" customFormat="false" ht="12.8" hidden="false" customHeight="false" outlineLevel="0" collapsed="false">
      <c r="G3182" s="25"/>
      <c r="H3182" s="475"/>
      <c r="J3182" s="462"/>
    </row>
    <row r="3183" customFormat="false" ht="12.8" hidden="false" customHeight="false" outlineLevel="0" collapsed="false">
      <c r="G3183" s="25"/>
      <c r="H3183" s="475"/>
    </row>
    <row r="3184" customFormat="false" ht="12.8" hidden="false" customHeight="false" outlineLevel="0" collapsed="false">
      <c r="G3184" s="25"/>
      <c r="H3184" s="475"/>
      <c r="J3184" s="462"/>
    </row>
    <row r="3185" customFormat="false" ht="12.8" hidden="false" customHeight="false" outlineLevel="0" collapsed="false">
      <c r="G3185" s="25"/>
      <c r="H3185" s="475"/>
      <c r="J3185" s="462"/>
    </row>
    <row r="3186" customFormat="false" ht="12.8" hidden="false" customHeight="false" outlineLevel="0" collapsed="false">
      <c r="G3186" s="25"/>
      <c r="H3186" s="475"/>
    </row>
    <row r="3187" customFormat="false" ht="12.8" hidden="false" customHeight="false" outlineLevel="0" collapsed="false">
      <c r="G3187" s="25"/>
      <c r="H3187" s="475"/>
    </row>
    <row r="3188" customFormat="false" ht="12.8" hidden="false" customHeight="false" outlineLevel="0" collapsed="false">
      <c r="G3188" s="25"/>
      <c r="H3188" s="475"/>
      <c r="J3188" s="462"/>
    </row>
    <row r="3189" customFormat="false" ht="12.8" hidden="false" customHeight="false" outlineLevel="0" collapsed="false">
      <c r="G3189" s="25"/>
      <c r="H3189" s="475"/>
      <c r="J3189" s="462"/>
    </row>
    <row r="3190" customFormat="false" ht="12.8" hidden="false" customHeight="false" outlineLevel="0" collapsed="false">
      <c r="G3190" s="25"/>
      <c r="H3190" s="475"/>
    </row>
    <row r="3191" customFormat="false" ht="12.8" hidden="false" customHeight="false" outlineLevel="0" collapsed="false">
      <c r="G3191" s="25"/>
      <c r="H3191" s="475"/>
      <c r="J3191" s="462"/>
    </row>
    <row r="3192" customFormat="false" ht="12.8" hidden="false" customHeight="false" outlineLevel="0" collapsed="false">
      <c r="G3192" s="25"/>
      <c r="H3192" s="475"/>
      <c r="J3192" s="462"/>
    </row>
    <row r="3193" customFormat="false" ht="12.8" hidden="false" customHeight="false" outlineLevel="0" collapsed="false">
      <c r="G3193" s="25"/>
      <c r="H3193" s="475"/>
    </row>
    <row r="3194" customFormat="false" ht="12.8" hidden="false" customHeight="false" outlineLevel="0" collapsed="false">
      <c r="G3194" s="25"/>
      <c r="H3194" s="475"/>
      <c r="J3194" s="462"/>
    </row>
    <row r="3195" customFormat="false" ht="12.8" hidden="false" customHeight="false" outlineLevel="0" collapsed="false">
      <c r="G3195" s="25"/>
      <c r="H3195" s="475"/>
      <c r="J3195" s="462"/>
    </row>
    <row r="3196" customFormat="false" ht="12.8" hidden="false" customHeight="false" outlineLevel="0" collapsed="false">
      <c r="G3196" s="25"/>
      <c r="H3196" s="475"/>
      <c r="J3196" s="462"/>
    </row>
    <row r="3197" customFormat="false" ht="12.8" hidden="false" customHeight="false" outlineLevel="0" collapsed="false">
      <c r="G3197" s="25"/>
      <c r="H3197" s="475"/>
      <c r="J3197" s="462"/>
    </row>
    <row r="3198" customFormat="false" ht="12.8" hidden="false" customHeight="false" outlineLevel="0" collapsed="false">
      <c r="G3198" s="25"/>
      <c r="H3198" s="475"/>
    </row>
    <row r="3199" customFormat="false" ht="12.8" hidden="false" customHeight="false" outlineLevel="0" collapsed="false">
      <c r="G3199" s="25"/>
      <c r="H3199" s="475"/>
      <c r="J3199" s="462"/>
    </row>
    <row r="3200" customFormat="false" ht="12.8" hidden="false" customHeight="false" outlineLevel="0" collapsed="false">
      <c r="G3200" s="25"/>
      <c r="H3200" s="475"/>
      <c r="J3200" s="462"/>
    </row>
    <row r="3201" customFormat="false" ht="12.8" hidden="false" customHeight="false" outlineLevel="0" collapsed="false">
      <c r="G3201" s="25"/>
      <c r="H3201" s="475"/>
    </row>
    <row r="3202" customFormat="false" ht="12.8" hidden="false" customHeight="false" outlineLevel="0" collapsed="false">
      <c r="G3202" s="25"/>
      <c r="H3202" s="475"/>
    </row>
    <row r="3203" customFormat="false" ht="12.8" hidden="false" customHeight="false" outlineLevel="0" collapsed="false">
      <c r="G3203" s="25"/>
      <c r="H3203" s="475"/>
    </row>
    <row r="3204" customFormat="false" ht="12.8" hidden="false" customHeight="false" outlineLevel="0" collapsed="false">
      <c r="G3204" s="25"/>
      <c r="H3204" s="475"/>
    </row>
    <row r="3205" customFormat="false" ht="12.8" hidden="false" customHeight="false" outlineLevel="0" collapsed="false">
      <c r="G3205" s="25"/>
      <c r="H3205" s="475"/>
    </row>
    <row r="3206" customFormat="false" ht="12.8" hidden="false" customHeight="false" outlineLevel="0" collapsed="false">
      <c r="G3206" s="25"/>
      <c r="H3206" s="475"/>
    </row>
    <row r="3207" customFormat="false" ht="12.8" hidden="false" customHeight="false" outlineLevel="0" collapsed="false">
      <c r="G3207" s="25"/>
      <c r="H3207" s="475"/>
    </row>
    <row r="3208" customFormat="false" ht="12.8" hidden="false" customHeight="false" outlineLevel="0" collapsed="false">
      <c r="G3208" s="25"/>
      <c r="H3208" s="475"/>
    </row>
    <row r="3209" customFormat="false" ht="12.8" hidden="false" customHeight="false" outlineLevel="0" collapsed="false">
      <c r="G3209" s="25"/>
      <c r="H3209" s="475"/>
      <c r="J3209" s="462"/>
    </row>
    <row r="3210" customFormat="false" ht="12.8" hidden="false" customHeight="false" outlineLevel="0" collapsed="false">
      <c r="G3210" s="25"/>
      <c r="H3210" s="475"/>
      <c r="J3210" s="462"/>
    </row>
    <row r="3211" customFormat="false" ht="12.8" hidden="false" customHeight="false" outlineLevel="0" collapsed="false">
      <c r="G3211" s="25"/>
      <c r="H3211" s="475"/>
    </row>
    <row r="3212" customFormat="false" ht="12.8" hidden="false" customHeight="false" outlineLevel="0" collapsed="false">
      <c r="G3212" s="25"/>
      <c r="H3212" s="475"/>
      <c r="J3212" s="462"/>
    </row>
    <row r="3213" customFormat="false" ht="12.8" hidden="false" customHeight="false" outlineLevel="0" collapsed="false">
      <c r="G3213" s="25"/>
      <c r="H3213" s="475"/>
      <c r="J3213" s="462"/>
    </row>
    <row r="3214" customFormat="false" ht="12.8" hidden="false" customHeight="false" outlineLevel="0" collapsed="false">
      <c r="G3214" s="25"/>
      <c r="H3214" s="475"/>
    </row>
    <row r="3215" customFormat="false" ht="12.8" hidden="false" customHeight="false" outlineLevel="0" collapsed="false">
      <c r="G3215" s="25"/>
      <c r="H3215" s="475"/>
      <c r="J3215" s="462"/>
    </row>
    <row r="3216" customFormat="false" ht="12.8" hidden="false" customHeight="false" outlineLevel="0" collapsed="false">
      <c r="G3216" s="25"/>
      <c r="H3216" s="475"/>
      <c r="J3216" s="462"/>
    </row>
    <row r="3217" customFormat="false" ht="12.8" hidden="false" customHeight="false" outlineLevel="0" collapsed="false">
      <c r="G3217" s="25"/>
      <c r="H3217" s="475"/>
    </row>
    <row r="3218" customFormat="false" ht="12.8" hidden="false" customHeight="false" outlineLevel="0" collapsed="false">
      <c r="G3218" s="25"/>
      <c r="H3218" s="475"/>
    </row>
    <row r="3219" customFormat="false" ht="12.8" hidden="false" customHeight="false" outlineLevel="0" collapsed="false">
      <c r="G3219" s="25"/>
      <c r="H3219" s="475"/>
    </row>
    <row r="3220" customFormat="false" ht="12.8" hidden="false" customHeight="false" outlineLevel="0" collapsed="false">
      <c r="G3220" s="25"/>
      <c r="H3220" s="475"/>
    </row>
    <row r="3221" customFormat="false" ht="12.8" hidden="false" customHeight="false" outlineLevel="0" collapsed="false">
      <c r="G3221" s="25"/>
      <c r="H3221" s="475"/>
      <c r="J3221" s="462"/>
    </row>
    <row r="3222" customFormat="false" ht="12.8" hidden="false" customHeight="false" outlineLevel="0" collapsed="false">
      <c r="G3222" s="25"/>
      <c r="H3222" s="475"/>
      <c r="J3222" s="462"/>
    </row>
    <row r="3223" customFormat="false" ht="12.8" hidden="false" customHeight="false" outlineLevel="0" collapsed="false">
      <c r="G3223" s="25"/>
      <c r="H3223" s="475"/>
    </row>
    <row r="3224" customFormat="false" ht="12.8" hidden="false" customHeight="false" outlineLevel="0" collapsed="false">
      <c r="G3224" s="25"/>
      <c r="H3224" s="475"/>
    </row>
    <row r="3225" customFormat="false" ht="12.8" hidden="false" customHeight="false" outlineLevel="0" collapsed="false">
      <c r="G3225" s="25"/>
      <c r="H3225" s="475"/>
    </row>
    <row r="3226" customFormat="false" ht="12.8" hidden="false" customHeight="false" outlineLevel="0" collapsed="false">
      <c r="G3226" s="25"/>
      <c r="H3226" s="475"/>
      <c r="J3226" s="462"/>
    </row>
    <row r="3227" customFormat="false" ht="12.8" hidden="false" customHeight="false" outlineLevel="0" collapsed="false">
      <c r="G3227" s="25"/>
      <c r="H3227" s="475"/>
      <c r="J3227" s="462"/>
    </row>
    <row r="3228" customFormat="false" ht="12.8" hidden="false" customHeight="false" outlineLevel="0" collapsed="false">
      <c r="G3228" s="25"/>
      <c r="H3228" s="475"/>
      <c r="J3228" s="462"/>
    </row>
    <row r="3229" customFormat="false" ht="12.8" hidden="false" customHeight="false" outlineLevel="0" collapsed="false">
      <c r="G3229" s="25"/>
      <c r="H3229" s="475"/>
      <c r="J3229" s="462"/>
    </row>
    <row r="3230" customFormat="false" ht="12.8" hidden="false" customHeight="false" outlineLevel="0" collapsed="false">
      <c r="G3230" s="25"/>
      <c r="H3230" s="475"/>
      <c r="J3230" s="462"/>
    </row>
    <row r="3231" customFormat="false" ht="12.8" hidden="false" customHeight="false" outlineLevel="0" collapsed="false">
      <c r="G3231" s="25"/>
      <c r="H3231" s="475"/>
      <c r="J3231" s="462"/>
    </row>
    <row r="3232" customFormat="false" ht="12.8" hidden="false" customHeight="false" outlineLevel="0" collapsed="false">
      <c r="G3232" s="25"/>
      <c r="H3232" s="475"/>
      <c r="J3232" s="462"/>
    </row>
    <row r="3233" customFormat="false" ht="12.8" hidden="false" customHeight="false" outlineLevel="0" collapsed="false">
      <c r="G3233" s="25"/>
      <c r="H3233" s="475"/>
    </row>
    <row r="3234" customFormat="false" ht="12.8" hidden="false" customHeight="false" outlineLevel="0" collapsed="false">
      <c r="G3234" s="25"/>
      <c r="H3234" s="475"/>
    </row>
    <row r="3235" customFormat="false" ht="12.8" hidden="false" customHeight="false" outlineLevel="0" collapsed="false">
      <c r="G3235" s="25"/>
      <c r="H3235" s="475"/>
    </row>
    <row r="3236" customFormat="false" ht="12.8" hidden="false" customHeight="false" outlineLevel="0" collapsed="false">
      <c r="G3236" s="25"/>
      <c r="H3236" s="475"/>
    </row>
    <row r="3237" customFormat="false" ht="12.8" hidden="false" customHeight="false" outlineLevel="0" collapsed="false">
      <c r="G3237" s="25"/>
      <c r="H3237" s="475"/>
    </row>
    <row r="3238" customFormat="false" ht="12.8" hidden="false" customHeight="false" outlineLevel="0" collapsed="false">
      <c r="G3238" s="25"/>
      <c r="H3238" s="475"/>
    </row>
    <row r="3239" customFormat="false" ht="12.8" hidden="false" customHeight="false" outlineLevel="0" collapsed="false">
      <c r="G3239" s="25"/>
      <c r="H3239" s="475"/>
      <c r="J3239" s="462"/>
    </row>
    <row r="3240" customFormat="false" ht="12.8" hidden="false" customHeight="false" outlineLevel="0" collapsed="false">
      <c r="G3240" s="25"/>
      <c r="H3240" s="475"/>
      <c r="J3240" s="462"/>
    </row>
    <row r="3241" customFormat="false" ht="12.8" hidden="false" customHeight="false" outlineLevel="0" collapsed="false">
      <c r="G3241" s="25"/>
      <c r="H3241" s="475"/>
    </row>
    <row r="3242" customFormat="false" ht="12.8" hidden="false" customHeight="false" outlineLevel="0" collapsed="false">
      <c r="G3242" s="25"/>
      <c r="H3242" s="475"/>
    </row>
    <row r="3243" customFormat="false" ht="12.8" hidden="false" customHeight="false" outlineLevel="0" collapsed="false">
      <c r="G3243" s="25"/>
      <c r="H3243" s="475"/>
      <c r="J3243" s="462"/>
    </row>
    <row r="3244" customFormat="false" ht="12.8" hidden="false" customHeight="false" outlineLevel="0" collapsed="false">
      <c r="G3244" s="25"/>
      <c r="H3244" s="475"/>
      <c r="J3244" s="462"/>
    </row>
    <row r="3245" customFormat="false" ht="12.8" hidden="false" customHeight="false" outlineLevel="0" collapsed="false">
      <c r="G3245" s="25"/>
      <c r="H3245" s="475"/>
    </row>
    <row r="3246" customFormat="false" ht="12.8" hidden="false" customHeight="false" outlineLevel="0" collapsed="false">
      <c r="G3246" s="25"/>
      <c r="H3246" s="475"/>
    </row>
    <row r="3247" customFormat="false" ht="12.8" hidden="false" customHeight="false" outlineLevel="0" collapsed="false">
      <c r="G3247" s="25"/>
      <c r="H3247" s="475"/>
    </row>
    <row r="3248" customFormat="false" ht="12.8" hidden="false" customHeight="false" outlineLevel="0" collapsed="false">
      <c r="G3248" s="25"/>
      <c r="H3248" s="475"/>
      <c r="J3248" s="462"/>
    </row>
    <row r="3249" customFormat="false" ht="12.8" hidden="false" customHeight="false" outlineLevel="0" collapsed="false">
      <c r="G3249" s="25"/>
      <c r="H3249" s="475"/>
      <c r="J3249" s="462"/>
    </row>
    <row r="3250" customFormat="false" ht="12.8" hidden="false" customHeight="false" outlineLevel="0" collapsed="false">
      <c r="G3250" s="25"/>
      <c r="H3250" s="475"/>
    </row>
    <row r="3251" customFormat="false" ht="12.8" hidden="false" customHeight="false" outlineLevel="0" collapsed="false">
      <c r="G3251" s="25"/>
      <c r="H3251" s="475"/>
    </row>
    <row r="3252" customFormat="false" ht="12.8" hidden="false" customHeight="false" outlineLevel="0" collapsed="false">
      <c r="G3252" s="25"/>
      <c r="H3252" s="475"/>
    </row>
    <row r="3253" customFormat="false" ht="12.8" hidden="false" customHeight="false" outlineLevel="0" collapsed="false">
      <c r="G3253" s="25"/>
      <c r="H3253" s="475"/>
      <c r="J3253" s="462"/>
    </row>
    <row r="3254" customFormat="false" ht="12.8" hidden="false" customHeight="false" outlineLevel="0" collapsed="false">
      <c r="G3254" s="25"/>
      <c r="H3254" s="475"/>
    </row>
    <row r="3255" customFormat="false" ht="12.8" hidden="false" customHeight="false" outlineLevel="0" collapsed="false">
      <c r="G3255" s="25"/>
      <c r="H3255" s="475"/>
    </row>
    <row r="3256" customFormat="false" ht="12.8" hidden="false" customHeight="false" outlineLevel="0" collapsed="false">
      <c r="G3256" s="25"/>
      <c r="H3256" s="475"/>
      <c r="J3256" s="462"/>
    </row>
    <row r="3257" customFormat="false" ht="12.8" hidden="false" customHeight="false" outlineLevel="0" collapsed="false">
      <c r="G3257" s="25"/>
      <c r="H3257" s="475"/>
      <c r="J3257" s="462"/>
    </row>
    <row r="3258" customFormat="false" ht="12.8" hidden="false" customHeight="false" outlineLevel="0" collapsed="false">
      <c r="G3258" s="25"/>
      <c r="H3258" s="475"/>
    </row>
    <row r="3259" customFormat="false" ht="12.8" hidden="false" customHeight="false" outlineLevel="0" collapsed="false">
      <c r="G3259" s="25"/>
      <c r="H3259" s="475"/>
    </row>
    <row r="3260" customFormat="false" ht="12.8" hidden="false" customHeight="false" outlineLevel="0" collapsed="false">
      <c r="G3260" s="25"/>
      <c r="H3260" s="475"/>
      <c r="M3260" s="64"/>
    </row>
    <row r="3261" customFormat="false" ht="12.8" hidden="false" customHeight="false" outlineLevel="0" collapsed="false">
      <c r="G3261" s="25"/>
      <c r="H3261" s="475"/>
      <c r="M3261" s="64"/>
    </row>
    <row r="3262" customFormat="false" ht="12.8" hidden="false" customHeight="false" outlineLevel="0" collapsed="false">
      <c r="G3262" s="25"/>
      <c r="H3262" s="475"/>
      <c r="J3262" s="462"/>
      <c r="M3262" s="64"/>
    </row>
    <row r="3263" customFormat="false" ht="12.8" hidden="false" customHeight="false" outlineLevel="0" collapsed="false">
      <c r="G3263" s="25"/>
      <c r="H3263" s="475"/>
      <c r="J3263" s="462"/>
      <c r="M3263" s="64"/>
    </row>
    <row r="3264" customFormat="false" ht="12.8" hidden="false" customHeight="false" outlineLevel="0" collapsed="false">
      <c r="G3264" s="25"/>
      <c r="H3264" s="475"/>
      <c r="M3264" s="64"/>
    </row>
    <row r="3265" customFormat="false" ht="12.8" hidden="false" customHeight="false" outlineLevel="0" collapsed="false">
      <c r="G3265" s="25"/>
      <c r="H3265" s="475"/>
      <c r="M3265" s="64"/>
    </row>
    <row r="3266" customFormat="false" ht="12.8" hidden="false" customHeight="false" outlineLevel="0" collapsed="false">
      <c r="G3266" s="25"/>
      <c r="H3266" s="475"/>
      <c r="M3266" s="64"/>
    </row>
    <row r="3267" customFormat="false" ht="12.8" hidden="false" customHeight="false" outlineLevel="0" collapsed="false">
      <c r="G3267" s="25"/>
      <c r="H3267" s="475"/>
      <c r="J3267" s="462"/>
      <c r="M3267" s="64"/>
    </row>
    <row r="3268" customFormat="false" ht="12.8" hidden="false" customHeight="false" outlineLevel="0" collapsed="false">
      <c r="G3268" s="25"/>
      <c r="H3268" s="475"/>
      <c r="J3268" s="462"/>
      <c r="M3268" s="64"/>
    </row>
    <row r="3269" customFormat="false" ht="12.8" hidden="false" customHeight="false" outlineLevel="0" collapsed="false">
      <c r="G3269" s="25"/>
      <c r="H3269" s="475"/>
    </row>
    <row r="3270" customFormat="false" ht="12.8" hidden="false" customHeight="false" outlineLevel="0" collapsed="false">
      <c r="G3270" s="25"/>
      <c r="H3270" s="475"/>
    </row>
    <row r="3271" customFormat="false" ht="12.8" hidden="false" customHeight="false" outlineLevel="0" collapsed="false">
      <c r="G3271" s="25"/>
      <c r="H3271" s="475"/>
    </row>
    <row r="3272" customFormat="false" ht="12.8" hidden="false" customHeight="false" outlineLevel="0" collapsed="false">
      <c r="G3272" s="25"/>
      <c r="H3272" s="475"/>
      <c r="J3272" s="462"/>
    </row>
    <row r="3273" customFormat="false" ht="12.8" hidden="false" customHeight="false" outlineLevel="0" collapsed="false">
      <c r="G3273" s="25"/>
      <c r="H3273" s="475"/>
      <c r="J3273" s="462"/>
    </row>
    <row r="3274" customFormat="false" ht="12.8" hidden="false" customHeight="false" outlineLevel="0" collapsed="false">
      <c r="G3274" s="25"/>
      <c r="H3274" s="475"/>
      <c r="J3274" s="462"/>
    </row>
    <row r="3275" customFormat="false" ht="12.8" hidden="false" customHeight="false" outlineLevel="0" collapsed="false">
      <c r="G3275" s="25"/>
      <c r="H3275" s="475"/>
      <c r="J3275" s="462"/>
    </row>
    <row r="3276" customFormat="false" ht="12.8" hidden="false" customHeight="false" outlineLevel="0" collapsed="false">
      <c r="G3276" s="25"/>
      <c r="H3276" s="475"/>
      <c r="J3276" s="462"/>
    </row>
    <row r="3277" customFormat="false" ht="12.8" hidden="false" customHeight="false" outlineLevel="0" collapsed="false">
      <c r="G3277" s="25"/>
      <c r="H3277" s="475"/>
      <c r="J3277" s="462"/>
    </row>
    <row r="3278" customFormat="false" ht="12.8" hidden="false" customHeight="false" outlineLevel="0" collapsed="false">
      <c r="G3278" s="25"/>
      <c r="H3278" s="475"/>
      <c r="J3278" s="462"/>
    </row>
    <row r="3279" customFormat="false" ht="12.8" hidden="false" customHeight="false" outlineLevel="0" collapsed="false">
      <c r="G3279" s="25"/>
      <c r="H3279" s="475"/>
    </row>
    <row r="3280" customFormat="false" ht="12.8" hidden="false" customHeight="false" outlineLevel="0" collapsed="false">
      <c r="G3280" s="25"/>
      <c r="H3280" s="475"/>
    </row>
    <row r="3281" customFormat="false" ht="12.8" hidden="false" customHeight="false" outlineLevel="0" collapsed="false">
      <c r="G3281" s="25"/>
      <c r="H3281" s="475"/>
    </row>
    <row r="3282" customFormat="false" ht="12.8" hidden="false" customHeight="false" outlineLevel="0" collapsed="false">
      <c r="G3282" s="25"/>
      <c r="H3282" s="475"/>
      <c r="J3282" s="462"/>
    </row>
    <row r="3283" customFormat="false" ht="12.8" hidden="false" customHeight="false" outlineLevel="0" collapsed="false">
      <c r="G3283" s="25"/>
      <c r="H3283" s="475"/>
      <c r="J3283" s="462"/>
    </row>
    <row r="3284" customFormat="false" ht="12.8" hidden="false" customHeight="false" outlineLevel="0" collapsed="false">
      <c r="G3284" s="25"/>
      <c r="H3284" s="475"/>
    </row>
    <row r="3285" customFormat="false" ht="12.8" hidden="false" customHeight="false" outlineLevel="0" collapsed="false">
      <c r="G3285" s="25"/>
      <c r="H3285" s="475"/>
    </row>
    <row r="3286" customFormat="false" ht="12.8" hidden="false" customHeight="false" outlineLevel="0" collapsed="false">
      <c r="G3286" s="25"/>
      <c r="H3286" s="475"/>
    </row>
    <row r="3287" customFormat="false" ht="12.8" hidden="false" customHeight="false" outlineLevel="0" collapsed="false">
      <c r="G3287" s="25"/>
      <c r="H3287" s="475"/>
    </row>
    <row r="3288" customFormat="false" ht="12.8" hidden="false" customHeight="false" outlineLevel="0" collapsed="false">
      <c r="G3288" s="25"/>
      <c r="H3288" s="475"/>
      <c r="K3288" s="467"/>
    </row>
    <row r="3289" customFormat="false" ht="12.8" hidden="false" customHeight="false" outlineLevel="0" collapsed="false">
      <c r="G3289" s="25"/>
      <c r="H3289" s="475"/>
    </row>
    <row r="3290" customFormat="false" ht="12.8" hidden="false" customHeight="false" outlineLevel="0" collapsed="false">
      <c r="G3290" s="25"/>
      <c r="H3290" s="475"/>
      <c r="J3290" s="462"/>
    </row>
    <row r="3291" customFormat="false" ht="12.8" hidden="false" customHeight="false" outlineLevel="0" collapsed="false">
      <c r="G3291" s="25"/>
      <c r="H3291" s="475"/>
      <c r="J3291" s="462"/>
    </row>
    <row r="3292" customFormat="false" ht="12.8" hidden="false" customHeight="false" outlineLevel="0" collapsed="false">
      <c r="G3292" s="25"/>
      <c r="H3292" s="475"/>
    </row>
    <row r="3293" customFormat="false" ht="12.8" hidden="false" customHeight="false" outlineLevel="0" collapsed="false">
      <c r="G3293" s="25"/>
      <c r="H3293" s="475"/>
    </row>
    <row r="3294" customFormat="false" ht="12.8" hidden="false" customHeight="false" outlineLevel="0" collapsed="false">
      <c r="G3294" s="25"/>
      <c r="H3294" s="475"/>
    </row>
    <row r="3295" customFormat="false" ht="12.8" hidden="false" customHeight="false" outlineLevel="0" collapsed="false">
      <c r="G3295" s="25"/>
      <c r="H3295" s="475"/>
      <c r="J3295" s="462"/>
    </row>
    <row r="3296" customFormat="false" ht="12.8" hidden="false" customHeight="false" outlineLevel="0" collapsed="false">
      <c r="G3296" s="25"/>
      <c r="H3296" s="475"/>
      <c r="J3296" s="462"/>
    </row>
    <row r="3297" customFormat="false" ht="12.8" hidden="false" customHeight="false" outlineLevel="0" collapsed="false">
      <c r="G3297" s="25"/>
      <c r="H3297" s="475"/>
    </row>
    <row r="3298" customFormat="false" ht="12.8" hidden="false" customHeight="false" outlineLevel="0" collapsed="false">
      <c r="G3298" s="25"/>
      <c r="H3298" s="475"/>
    </row>
    <row r="3299" customFormat="false" ht="12.8" hidden="false" customHeight="false" outlineLevel="0" collapsed="false">
      <c r="G3299" s="25"/>
      <c r="H3299" s="475"/>
    </row>
    <row r="3300" customFormat="false" ht="12.8" hidden="false" customHeight="false" outlineLevel="0" collapsed="false">
      <c r="G3300" s="25"/>
      <c r="H3300" s="475"/>
      <c r="J3300" s="462"/>
    </row>
    <row r="3301" customFormat="false" ht="12.8" hidden="false" customHeight="false" outlineLevel="0" collapsed="false">
      <c r="G3301" s="25"/>
      <c r="H3301" s="475"/>
      <c r="J3301" s="462"/>
    </row>
    <row r="3302" customFormat="false" ht="12.8" hidden="false" customHeight="false" outlineLevel="0" collapsed="false">
      <c r="G3302" s="25"/>
      <c r="H3302" s="475"/>
      <c r="J3302" s="462"/>
    </row>
    <row r="3303" customFormat="false" ht="12.8" hidden="false" customHeight="false" outlineLevel="0" collapsed="false">
      <c r="G3303" s="25"/>
      <c r="H3303" s="475"/>
      <c r="J3303" s="462"/>
    </row>
    <row r="3304" customFormat="false" ht="12.8" hidden="false" customHeight="false" outlineLevel="0" collapsed="false">
      <c r="G3304" s="25"/>
      <c r="H3304" s="475"/>
    </row>
    <row r="3305" customFormat="false" ht="12.8" hidden="false" customHeight="false" outlineLevel="0" collapsed="false">
      <c r="G3305" s="25"/>
      <c r="H3305" s="475"/>
    </row>
    <row r="3306" customFormat="false" ht="12.8" hidden="false" customHeight="false" outlineLevel="0" collapsed="false">
      <c r="G3306" s="25"/>
      <c r="H3306" s="475"/>
      <c r="J3306" s="462"/>
    </row>
    <row r="3307" customFormat="false" ht="12.8" hidden="false" customHeight="false" outlineLevel="0" collapsed="false">
      <c r="G3307" s="25"/>
      <c r="H3307" s="475"/>
      <c r="J3307" s="462"/>
    </row>
    <row r="3308" customFormat="false" ht="12.8" hidden="false" customHeight="false" outlineLevel="0" collapsed="false">
      <c r="G3308" s="25"/>
      <c r="H3308" s="475"/>
    </row>
    <row r="3309" customFormat="false" ht="12.8" hidden="false" customHeight="false" outlineLevel="0" collapsed="false">
      <c r="G3309" s="25"/>
      <c r="H3309" s="475"/>
      <c r="J3309" s="462"/>
    </row>
    <row r="3310" customFormat="false" ht="12.8" hidden="false" customHeight="false" outlineLevel="0" collapsed="false">
      <c r="G3310" s="25"/>
      <c r="H3310" s="475"/>
    </row>
    <row r="3311" customFormat="false" ht="12.8" hidden="false" customHeight="false" outlineLevel="0" collapsed="false">
      <c r="G3311" s="25"/>
      <c r="H3311" s="475"/>
    </row>
    <row r="3312" customFormat="false" ht="12.8" hidden="false" customHeight="false" outlineLevel="0" collapsed="false">
      <c r="G3312" s="25"/>
      <c r="H3312" s="475"/>
      <c r="J3312" s="462"/>
    </row>
    <row r="3313" customFormat="false" ht="12.8" hidden="false" customHeight="false" outlineLevel="0" collapsed="false">
      <c r="G3313" s="25"/>
      <c r="H3313" s="475"/>
      <c r="J3313" s="462"/>
    </row>
    <row r="3314" customFormat="false" ht="12.8" hidden="false" customHeight="false" outlineLevel="0" collapsed="false">
      <c r="G3314" s="25"/>
      <c r="H3314" s="475"/>
      <c r="J3314" s="462"/>
    </row>
    <row r="3315" customFormat="false" ht="12.8" hidden="false" customHeight="false" outlineLevel="0" collapsed="false">
      <c r="G3315" s="25"/>
      <c r="H3315" s="475"/>
      <c r="J3315" s="462"/>
    </row>
    <row r="3316" customFormat="false" ht="12.8" hidden="false" customHeight="false" outlineLevel="0" collapsed="false">
      <c r="G3316" s="25"/>
      <c r="H3316" s="475"/>
      <c r="J3316" s="462"/>
    </row>
    <row r="3317" customFormat="false" ht="12.8" hidden="false" customHeight="false" outlineLevel="0" collapsed="false">
      <c r="G3317" s="25"/>
      <c r="H3317" s="475"/>
      <c r="J3317" s="462"/>
    </row>
    <row r="3318" customFormat="false" ht="12.8" hidden="false" customHeight="false" outlineLevel="0" collapsed="false">
      <c r="G3318" s="25"/>
      <c r="H3318" s="475"/>
      <c r="J3318" s="462"/>
    </row>
    <row r="3319" customFormat="false" ht="12.8" hidden="false" customHeight="false" outlineLevel="0" collapsed="false">
      <c r="G3319" s="25"/>
      <c r="H3319" s="475"/>
      <c r="J3319" s="462"/>
    </row>
    <row r="3320" customFormat="false" ht="12.8" hidden="false" customHeight="false" outlineLevel="0" collapsed="false">
      <c r="G3320" s="25"/>
      <c r="H3320" s="475"/>
    </row>
    <row r="3321" customFormat="false" ht="12.8" hidden="false" customHeight="false" outlineLevel="0" collapsed="false">
      <c r="G3321" s="25"/>
      <c r="H3321" s="475"/>
    </row>
    <row r="3322" customFormat="false" ht="12.8" hidden="false" customHeight="false" outlineLevel="0" collapsed="false">
      <c r="G3322" s="25"/>
      <c r="H3322" s="475"/>
    </row>
    <row r="3323" customFormat="false" ht="12.8" hidden="false" customHeight="false" outlineLevel="0" collapsed="false">
      <c r="G3323" s="25"/>
      <c r="H3323" s="475"/>
      <c r="J3323" s="462"/>
    </row>
    <row r="3324" customFormat="false" ht="12.8" hidden="false" customHeight="false" outlineLevel="0" collapsed="false">
      <c r="G3324" s="25"/>
      <c r="H3324" s="475"/>
      <c r="J3324" s="462"/>
    </row>
    <row r="3325" customFormat="false" ht="12.8" hidden="false" customHeight="false" outlineLevel="0" collapsed="false">
      <c r="G3325" s="25"/>
      <c r="H3325" s="475"/>
      <c r="J3325" s="462"/>
    </row>
    <row r="3326" customFormat="false" ht="12.8" hidden="false" customHeight="false" outlineLevel="0" collapsed="false">
      <c r="G3326" s="25"/>
      <c r="H3326" s="475"/>
    </row>
    <row r="3327" customFormat="false" ht="12.8" hidden="false" customHeight="false" outlineLevel="0" collapsed="false">
      <c r="G3327" s="25"/>
      <c r="H3327" s="475"/>
      <c r="J3327" s="462"/>
    </row>
    <row r="3328" customFormat="false" ht="12.8" hidden="false" customHeight="false" outlineLevel="0" collapsed="false">
      <c r="G3328" s="25"/>
      <c r="H3328" s="475"/>
      <c r="J3328" s="462"/>
    </row>
    <row r="3329" customFormat="false" ht="12.8" hidden="false" customHeight="false" outlineLevel="0" collapsed="false">
      <c r="G3329" s="25"/>
      <c r="H3329" s="475"/>
    </row>
    <row r="3330" customFormat="false" ht="12.8" hidden="false" customHeight="false" outlineLevel="0" collapsed="false">
      <c r="G3330" s="25"/>
      <c r="H3330" s="475"/>
    </row>
    <row r="3331" customFormat="false" ht="12.8" hidden="false" customHeight="false" outlineLevel="0" collapsed="false">
      <c r="G3331" s="25"/>
      <c r="H3331" s="475"/>
    </row>
    <row r="3332" customFormat="false" ht="12.8" hidden="false" customHeight="false" outlineLevel="0" collapsed="false">
      <c r="G3332" s="25"/>
      <c r="H3332" s="475"/>
    </row>
    <row r="3333" customFormat="false" ht="12.8" hidden="false" customHeight="false" outlineLevel="0" collapsed="false">
      <c r="G3333" s="25"/>
      <c r="H3333" s="475"/>
      <c r="J3333" s="462"/>
    </row>
    <row r="3334" customFormat="false" ht="12.8" hidden="false" customHeight="false" outlineLevel="0" collapsed="false">
      <c r="G3334" s="25"/>
      <c r="H3334" s="475"/>
      <c r="J3334" s="462"/>
    </row>
    <row r="3335" customFormat="false" ht="12.8" hidden="false" customHeight="false" outlineLevel="0" collapsed="false">
      <c r="G3335" s="25"/>
      <c r="H3335" s="475"/>
      <c r="J3335" s="462"/>
    </row>
    <row r="3336" customFormat="false" ht="12.8" hidden="false" customHeight="false" outlineLevel="0" collapsed="false">
      <c r="G3336" s="25"/>
      <c r="H3336" s="475"/>
      <c r="J3336" s="462"/>
    </row>
    <row r="3337" customFormat="false" ht="12.8" hidden="false" customHeight="false" outlineLevel="0" collapsed="false">
      <c r="G3337" s="25"/>
      <c r="H3337" s="475"/>
    </row>
    <row r="3338" customFormat="false" ht="12.8" hidden="false" customHeight="false" outlineLevel="0" collapsed="false">
      <c r="G3338" s="25"/>
      <c r="H3338" s="475"/>
    </row>
    <row r="3339" customFormat="false" ht="12.8" hidden="false" customHeight="false" outlineLevel="0" collapsed="false">
      <c r="G3339" s="25"/>
      <c r="H3339" s="475"/>
    </row>
    <row r="3340" customFormat="false" ht="12.8" hidden="false" customHeight="false" outlineLevel="0" collapsed="false">
      <c r="G3340" s="25"/>
      <c r="H3340" s="475"/>
      <c r="J3340" s="462"/>
    </row>
    <row r="3341" customFormat="false" ht="12.8" hidden="false" customHeight="false" outlineLevel="0" collapsed="false">
      <c r="G3341" s="25"/>
      <c r="H3341" s="475"/>
      <c r="J3341" s="462"/>
    </row>
    <row r="3342" customFormat="false" ht="12.8" hidden="false" customHeight="false" outlineLevel="0" collapsed="false">
      <c r="G3342" s="25"/>
      <c r="H3342" s="475"/>
    </row>
    <row r="3343" customFormat="false" ht="12.8" hidden="false" customHeight="false" outlineLevel="0" collapsed="false">
      <c r="G3343" s="25"/>
      <c r="H3343" s="475"/>
    </row>
    <row r="3344" customFormat="false" ht="12.8" hidden="false" customHeight="false" outlineLevel="0" collapsed="false">
      <c r="G3344" s="25"/>
      <c r="H3344" s="475"/>
    </row>
    <row r="3345" customFormat="false" ht="12.8" hidden="false" customHeight="false" outlineLevel="0" collapsed="false">
      <c r="G3345" s="25"/>
      <c r="H3345" s="475"/>
    </row>
    <row r="3346" customFormat="false" ht="12.8" hidden="false" customHeight="false" outlineLevel="0" collapsed="false">
      <c r="G3346" s="25"/>
      <c r="H3346" s="475"/>
      <c r="J3346" s="462"/>
    </row>
    <row r="3347" customFormat="false" ht="12.8" hidden="false" customHeight="false" outlineLevel="0" collapsed="false">
      <c r="G3347" s="25"/>
      <c r="H3347" s="475"/>
      <c r="J3347" s="462"/>
    </row>
    <row r="3348" customFormat="false" ht="12.8" hidden="false" customHeight="false" outlineLevel="0" collapsed="false">
      <c r="G3348" s="25"/>
      <c r="H3348" s="475"/>
    </row>
    <row r="3349" customFormat="false" ht="12.8" hidden="false" customHeight="false" outlineLevel="0" collapsed="false">
      <c r="G3349" s="25"/>
      <c r="H3349" s="475"/>
    </row>
    <row r="3350" customFormat="false" ht="12.8" hidden="false" customHeight="false" outlineLevel="0" collapsed="false">
      <c r="G3350" s="25"/>
      <c r="H3350" s="475"/>
    </row>
    <row r="3351" customFormat="false" ht="12.8" hidden="false" customHeight="false" outlineLevel="0" collapsed="false">
      <c r="G3351" s="25"/>
      <c r="H3351" s="475"/>
      <c r="J3351" s="462"/>
    </row>
    <row r="3352" customFormat="false" ht="12.8" hidden="false" customHeight="false" outlineLevel="0" collapsed="false">
      <c r="G3352" s="25"/>
      <c r="H3352" s="475"/>
      <c r="J3352" s="462"/>
    </row>
    <row r="3353" customFormat="false" ht="12.8" hidden="false" customHeight="false" outlineLevel="0" collapsed="false">
      <c r="G3353" s="25"/>
      <c r="H3353" s="475"/>
    </row>
    <row r="3354" customFormat="false" ht="12.8" hidden="false" customHeight="false" outlineLevel="0" collapsed="false">
      <c r="G3354" s="25"/>
      <c r="H3354" s="475"/>
    </row>
    <row r="3355" customFormat="false" ht="12.8" hidden="false" customHeight="false" outlineLevel="0" collapsed="false">
      <c r="G3355" s="25"/>
      <c r="H3355" s="475"/>
    </row>
    <row r="3356" customFormat="false" ht="12.8" hidden="false" customHeight="false" outlineLevel="0" collapsed="false">
      <c r="G3356" s="25"/>
      <c r="H3356" s="475"/>
    </row>
    <row r="3357" customFormat="false" ht="12.8" hidden="false" customHeight="false" outlineLevel="0" collapsed="false">
      <c r="G3357" s="25"/>
      <c r="H3357" s="475"/>
      <c r="J3357" s="462"/>
    </row>
    <row r="3358" customFormat="false" ht="12.8" hidden="false" customHeight="false" outlineLevel="0" collapsed="false">
      <c r="G3358" s="25"/>
      <c r="H3358" s="475"/>
      <c r="J3358" s="462"/>
    </row>
    <row r="3359" customFormat="false" ht="12.8" hidden="false" customHeight="false" outlineLevel="0" collapsed="false">
      <c r="G3359" s="25"/>
      <c r="H3359" s="475"/>
      <c r="J3359" s="462"/>
    </row>
    <row r="3360" customFormat="false" ht="12.8" hidden="false" customHeight="false" outlineLevel="0" collapsed="false">
      <c r="G3360" s="25"/>
      <c r="H3360" s="475"/>
      <c r="J3360" s="462"/>
    </row>
    <row r="3361" customFormat="false" ht="12.8" hidden="false" customHeight="false" outlineLevel="0" collapsed="false">
      <c r="G3361" s="25"/>
      <c r="H3361" s="475"/>
    </row>
    <row r="3362" customFormat="false" ht="12.8" hidden="false" customHeight="false" outlineLevel="0" collapsed="false">
      <c r="G3362" s="25"/>
      <c r="H3362" s="475"/>
      <c r="J3362" s="462"/>
    </row>
    <row r="3363" customFormat="false" ht="12.8" hidden="false" customHeight="false" outlineLevel="0" collapsed="false">
      <c r="G3363" s="25"/>
      <c r="H3363" s="475"/>
      <c r="J3363" s="462"/>
    </row>
    <row r="3364" customFormat="false" ht="12.8" hidden="false" customHeight="false" outlineLevel="0" collapsed="false">
      <c r="G3364" s="25"/>
      <c r="H3364" s="475"/>
    </row>
    <row r="3365" customFormat="false" ht="12.8" hidden="false" customHeight="false" outlineLevel="0" collapsed="false">
      <c r="G3365" s="25"/>
      <c r="H3365" s="475"/>
    </row>
    <row r="3366" customFormat="false" ht="12.8" hidden="false" customHeight="false" outlineLevel="0" collapsed="false">
      <c r="G3366" s="25"/>
      <c r="H3366" s="475"/>
    </row>
    <row r="3367" customFormat="false" ht="12.8" hidden="false" customHeight="false" outlineLevel="0" collapsed="false">
      <c r="G3367" s="25"/>
      <c r="H3367" s="475"/>
    </row>
    <row r="3368" customFormat="false" ht="12.8" hidden="false" customHeight="false" outlineLevel="0" collapsed="false">
      <c r="G3368" s="25"/>
      <c r="H3368" s="475"/>
      <c r="J3368" s="462"/>
    </row>
    <row r="3369" customFormat="false" ht="11.25" hidden="false" customHeight="true" outlineLevel="0" collapsed="false">
      <c r="G3369" s="25"/>
      <c r="H3369" s="475"/>
      <c r="J3369" s="462"/>
    </row>
    <row r="3370" customFormat="false" ht="12.8" hidden="false" customHeight="false" outlineLevel="0" collapsed="false">
      <c r="G3370" s="25"/>
      <c r="H3370" s="475"/>
    </row>
    <row r="3371" customFormat="false" ht="12.8" hidden="false" customHeight="false" outlineLevel="0" collapsed="false">
      <c r="G3371" s="25"/>
      <c r="H3371" s="475"/>
    </row>
    <row r="3372" customFormat="false" ht="12.8" hidden="false" customHeight="false" outlineLevel="0" collapsed="false">
      <c r="G3372" s="25"/>
      <c r="H3372" s="475"/>
    </row>
    <row r="3373" customFormat="false" ht="12.8" hidden="false" customHeight="false" outlineLevel="0" collapsed="false">
      <c r="G3373" s="25"/>
      <c r="H3373" s="475"/>
    </row>
    <row r="3374" customFormat="false" ht="12.8" hidden="false" customHeight="false" outlineLevel="0" collapsed="false">
      <c r="G3374" s="25"/>
      <c r="H3374" s="475"/>
      <c r="J3374" s="462"/>
    </row>
    <row r="3375" customFormat="false" ht="12.8" hidden="false" customHeight="false" outlineLevel="0" collapsed="false">
      <c r="G3375" s="25"/>
      <c r="H3375" s="475"/>
      <c r="J3375" s="462"/>
    </row>
    <row r="3376" customFormat="false" ht="12.8" hidden="false" customHeight="false" outlineLevel="0" collapsed="false">
      <c r="G3376" s="25"/>
      <c r="H3376" s="475"/>
    </row>
    <row r="3377" customFormat="false" ht="12.8" hidden="false" customHeight="false" outlineLevel="0" collapsed="false">
      <c r="G3377" s="25"/>
      <c r="H3377" s="475"/>
    </row>
    <row r="3378" customFormat="false" ht="12.8" hidden="false" customHeight="false" outlineLevel="0" collapsed="false">
      <c r="G3378" s="25"/>
      <c r="H3378" s="475"/>
    </row>
    <row r="3379" customFormat="false" ht="12.8" hidden="false" customHeight="false" outlineLevel="0" collapsed="false">
      <c r="G3379" s="25"/>
      <c r="H3379" s="475"/>
      <c r="J3379" s="462"/>
    </row>
    <row r="3380" customFormat="false" ht="12.8" hidden="false" customHeight="false" outlineLevel="0" collapsed="false">
      <c r="G3380" s="25"/>
      <c r="H3380" s="475"/>
      <c r="J3380" s="462"/>
    </row>
    <row r="3381" customFormat="false" ht="12.8" hidden="false" customHeight="false" outlineLevel="0" collapsed="false">
      <c r="G3381" s="25"/>
      <c r="H3381" s="475"/>
    </row>
    <row r="3382" customFormat="false" ht="12.8" hidden="false" customHeight="false" outlineLevel="0" collapsed="false">
      <c r="G3382" s="25"/>
      <c r="H3382" s="475"/>
      <c r="J3382" s="462"/>
    </row>
    <row r="3383" customFormat="false" ht="12.8" hidden="false" customHeight="false" outlineLevel="0" collapsed="false">
      <c r="G3383" s="25"/>
      <c r="H3383" s="475"/>
      <c r="J3383" s="462"/>
    </row>
    <row r="3384" customFormat="false" ht="12.8" hidden="false" customHeight="false" outlineLevel="0" collapsed="false">
      <c r="G3384" s="25"/>
      <c r="H3384" s="475"/>
    </row>
    <row r="3385" customFormat="false" ht="12.8" hidden="false" customHeight="false" outlineLevel="0" collapsed="false">
      <c r="G3385" s="25"/>
      <c r="H3385" s="475"/>
    </row>
    <row r="3386" customFormat="false" ht="12.8" hidden="false" customHeight="false" outlineLevel="0" collapsed="false">
      <c r="G3386" s="25"/>
      <c r="H3386" s="475"/>
    </row>
    <row r="3387" customFormat="false" ht="12.8" hidden="false" customHeight="false" outlineLevel="0" collapsed="false">
      <c r="G3387" s="25"/>
      <c r="H3387" s="475"/>
      <c r="J3387" s="462"/>
    </row>
    <row r="3388" customFormat="false" ht="12.8" hidden="false" customHeight="false" outlineLevel="0" collapsed="false">
      <c r="G3388" s="25"/>
      <c r="H3388" s="475"/>
      <c r="J3388" s="462"/>
    </row>
    <row r="3389" customFormat="false" ht="12.8" hidden="false" customHeight="false" outlineLevel="0" collapsed="false">
      <c r="G3389" s="25"/>
      <c r="H3389" s="475"/>
    </row>
    <row r="3390" customFormat="false" ht="12.8" hidden="false" customHeight="false" outlineLevel="0" collapsed="false">
      <c r="G3390" s="25"/>
      <c r="H3390" s="475"/>
    </row>
    <row r="3391" customFormat="false" ht="12.8" hidden="false" customHeight="false" outlineLevel="0" collapsed="false">
      <c r="G3391" s="25"/>
      <c r="H3391" s="475"/>
    </row>
    <row r="3392" customFormat="false" ht="12.8" hidden="false" customHeight="false" outlineLevel="0" collapsed="false">
      <c r="G3392" s="25"/>
      <c r="H3392" s="475"/>
      <c r="J3392" s="462"/>
    </row>
    <row r="3393" customFormat="false" ht="12.8" hidden="false" customHeight="false" outlineLevel="0" collapsed="false">
      <c r="G3393" s="25"/>
      <c r="H3393" s="475"/>
      <c r="J3393" s="462"/>
    </row>
    <row r="3394" customFormat="false" ht="12.8" hidden="false" customHeight="false" outlineLevel="0" collapsed="false">
      <c r="G3394" s="25"/>
      <c r="H3394" s="475"/>
    </row>
    <row r="3395" customFormat="false" ht="12.8" hidden="false" customHeight="false" outlineLevel="0" collapsed="false">
      <c r="G3395" s="25"/>
      <c r="H3395" s="475"/>
    </row>
    <row r="3396" customFormat="false" ht="12.8" hidden="false" customHeight="false" outlineLevel="0" collapsed="false">
      <c r="G3396" s="25"/>
      <c r="H3396" s="475"/>
    </row>
    <row r="3397" customFormat="false" ht="12.8" hidden="false" customHeight="false" outlineLevel="0" collapsed="false">
      <c r="G3397" s="25"/>
      <c r="H3397" s="475"/>
    </row>
    <row r="3398" customFormat="false" ht="12.8" hidden="false" customHeight="false" outlineLevel="0" collapsed="false">
      <c r="G3398" s="25"/>
      <c r="H3398" s="475"/>
    </row>
    <row r="3399" customFormat="false" ht="12.8" hidden="false" customHeight="false" outlineLevel="0" collapsed="false">
      <c r="G3399" s="25"/>
      <c r="H3399" s="475"/>
      <c r="J3399" s="462"/>
    </row>
    <row r="3400" customFormat="false" ht="12.8" hidden="false" customHeight="false" outlineLevel="0" collapsed="false">
      <c r="G3400" s="25"/>
      <c r="H3400" s="475"/>
      <c r="J3400" s="462"/>
    </row>
    <row r="3401" customFormat="false" ht="12.8" hidden="false" customHeight="false" outlineLevel="0" collapsed="false">
      <c r="G3401" s="25"/>
      <c r="H3401" s="475"/>
    </row>
    <row r="3402" customFormat="false" ht="12.8" hidden="false" customHeight="false" outlineLevel="0" collapsed="false">
      <c r="G3402" s="25"/>
      <c r="H3402" s="475"/>
    </row>
    <row r="3403" customFormat="false" ht="12.8" hidden="false" customHeight="false" outlineLevel="0" collapsed="false">
      <c r="G3403" s="25"/>
      <c r="H3403" s="475"/>
    </row>
    <row r="3404" customFormat="false" ht="12.8" hidden="false" customHeight="false" outlineLevel="0" collapsed="false">
      <c r="G3404" s="25"/>
      <c r="H3404" s="475"/>
      <c r="J3404" s="462"/>
    </row>
    <row r="3405" customFormat="false" ht="12.8" hidden="false" customHeight="false" outlineLevel="0" collapsed="false">
      <c r="G3405" s="25"/>
      <c r="H3405" s="475"/>
      <c r="J3405" s="462"/>
    </row>
    <row r="3406" customFormat="false" ht="12.8" hidden="false" customHeight="false" outlineLevel="0" collapsed="false">
      <c r="G3406" s="25"/>
      <c r="H3406" s="475"/>
    </row>
    <row r="3407" customFormat="false" ht="12.8" hidden="false" customHeight="false" outlineLevel="0" collapsed="false">
      <c r="G3407" s="25"/>
      <c r="H3407" s="475"/>
      <c r="J3407" s="462"/>
    </row>
    <row r="3408" customFormat="false" ht="12.8" hidden="false" customHeight="false" outlineLevel="0" collapsed="false">
      <c r="G3408" s="25"/>
      <c r="H3408" s="475"/>
    </row>
    <row r="3409" customFormat="false" ht="12.8" hidden="false" customHeight="false" outlineLevel="0" collapsed="false">
      <c r="G3409" s="25"/>
      <c r="H3409" s="475"/>
    </row>
    <row r="3410" customFormat="false" ht="12.8" hidden="false" customHeight="false" outlineLevel="0" collapsed="false">
      <c r="G3410" s="25"/>
      <c r="H3410" s="475"/>
      <c r="J3410" s="462"/>
    </row>
    <row r="3411" customFormat="false" ht="12.8" hidden="false" customHeight="false" outlineLevel="0" collapsed="false">
      <c r="G3411" s="25"/>
      <c r="H3411" s="475"/>
      <c r="J3411" s="462"/>
    </row>
    <row r="3412" customFormat="false" ht="12.8" hidden="false" customHeight="false" outlineLevel="0" collapsed="false">
      <c r="G3412" s="25"/>
      <c r="H3412" s="475"/>
    </row>
    <row r="3413" customFormat="false" ht="12.8" hidden="false" customHeight="false" outlineLevel="0" collapsed="false">
      <c r="G3413" s="25"/>
      <c r="H3413" s="475"/>
    </row>
    <row r="3414" customFormat="false" ht="12.8" hidden="false" customHeight="false" outlineLevel="0" collapsed="false">
      <c r="G3414" s="25"/>
      <c r="H3414" s="475"/>
    </row>
    <row r="3415" customFormat="false" ht="12.8" hidden="false" customHeight="false" outlineLevel="0" collapsed="false">
      <c r="G3415" s="25"/>
      <c r="H3415" s="475"/>
    </row>
    <row r="3416" customFormat="false" ht="12.8" hidden="false" customHeight="false" outlineLevel="0" collapsed="false">
      <c r="G3416" s="25"/>
      <c r="H3416" s="475"/>
      <c r="J3416" s="462"/>
    </row>
    <row r="3417" customFormat="false" ht="12.8" hidden="false" customHeight="false" outlineLevel="0" collapsed="false">
      <c r="G3417" s="25"/>
      <c r="H3417" s="475"/>
      <c r="J3417" s="462"/>
    </row>
    <row r="3418" customFormat="false" ht="12.8" hidden="false" customHeight="false" outlineLevel="0" collapsed="false">
      <c r="G3418" s="25"/>
      <c r="H3418" s="475"/>
    </row>
    <row r="3419" customFormat="false" ht="12.8" hidden="false" customHeight="false" outlineLevel="0" collapsed="false">
      <c r="G3419" s="25"/>
      <c r="H3419" s="475"/>
    </row>
    <row r="3420" customFormat="false" ht="12.8" hidden="false" customHeight="false" outlineLevel="0" collapsed="false">
      <c r="G3420" s="25"/>
      <c r="H3420" s="475"/>
    </row>
    <row r="3421" customFormat="false" ht="12.8" hidden="false" customHeight="false" outlineLevel="0" collapsed="false">
      <c r="G3421" s="25"/>
      <c r="H3421" s="475"/>
    </row>
    <row r="3422" customFormat="false" ht="12.8" hidden="false" customHeight="false" outlineLevel="0" collapsed="false">
      <c r="G3422" s="25"/>
      <c r="H3422" s="475"/>
      <c r="J3422" s="462"/>
    </row>
    <row r="3423" customFormat="false" ht="12.8" hidden="false" customHeight="false" outlineLevel="0" collapsed="false">
      <c r="G3423" s="25"/>
      <c r="H3423" s="475"/>
      <c r="J3423" s="462"/>
    </row>
    <row r="3424" customFormat="false" ht="12.8" hidden="false" customHeight="false" outlineLevel="0" collapsed="false">
      <c r="G3424" s="25"/>
      <c r="H3424" s="475"/>
    </row>
    <row r="3425" customFormat="false" ht="12.8" hidden="false" customHeight="false" outlineLevel="0" collapsed="false">
      <c r="G3425" s="25"/>
      <c r="H3425" s="475"/>
      <c r="J3425" s="462"/>
    </row>
    <row r="3426" customFormat="false" ht="12.8" hidden="false" customHeight="false" outlineLevel="0" collapsed="false">
      <c r="G3426" s="25"/>
      <c r="H3426" s="475"/>
      <c r="J3426" s="462"/>
    </row>
    <row r="3427" customFormat="false" ht="12.8" hidden="false" customHeight="false" outlineLevel="0" collapsed="false">
      <c r="G3427" s="25"/>
      <c r="H3427" s="475"/>
    </row>
    <row r="3428" customFormat="false" ht="12.8" hidden="false" customHeight="false" outlineLevel="0" collapsed="false">
      <c r="G3428" s="25"/>
      <c r="H3428" s="475"/>
    </row>
    <row r="3429" customFormat="false" ht="12.8" hidden="false" customHeight="false" outlineLevel="0" collapsed="false">
      <c r="G3429" s="25"/>
      <c r="H3429" s="475"/>
    </row>
    <row r="3430" customFormat="false" ht="12.8" hidden="false" customHeight="false" outlineLevel="0" collapsed="false">
      <c r="G3430" s="25"/>
      <c r="H3430" s="475"/>
    </row>
    <row r="3431" customFormat="false" ht="12.8" hidden="false" customHeight="false" outlineLevel="0" collapsed="false">
      <c r="G3431" s="25"/>
      <c r="H3431" s="475"/>
      <c r="J3431" s="462"/>
    </row>
    <row r="3432" customFormat="false" ht="12.8" hidden="false" customHeight="false" outlineLevel="0" collapsed="false">
      <c r="G3432" s="25"/>
      <c r="H3432" s="475"/>
      <c r="J3432" s="462"/>
    </row>
    <row r="3433" customFormat="false" ht="12.8" hidden="false" customHeight="false" outlineLevel="0" collapsed="false">
      <c r="G3433" s="25"/>
      <c r="H3433" s="475"/>
    </row>
    <row r="3434" customFormat="false" ht="12.8" hidden="false" customHeight="false" outlineLevel="0" collapsed="false">
      <c r="G3434" s="25"/>
      <c r="H3434" s="475"/>
    </row>
    <row r="3435" customFormat="false" ht="12.8" hidden="false" customHeight="false" outlineLevel="0" collapsed="false">
      <c r="G3435" s="25"/>
      <c r="H3435" s="475"/>
    </row>
    <row r="3436" customFormat="false" ht="12.8" hidden="false" customHeight="false" outlineLevel="0" collapsed="false">
      <c r="G3436" s="25"/>
      <c r="H3436" s="475"/>
    </row>
    <row r="3437" customFormat="false" ht="12.8" hidden="false" customHeight="false" outlineLevel="0" collapsed="false">
      <c r="G3437" s="25"/>
      <c r="H3437" s="475"/>
    </row>
    <row r="3438" customFormat="false" ht="12.8" hidden="false" customHeight="false" outlineLevel="0" collapsed="false">
      <c r="G3438" s="25"/>
      <c r="H3438" s="475"/>
    </row>
    <row r="3439" customFormat="false" ht="12.8" hidden="false" customHeight="false" outlineLevel="0" collapsed="false">
      <c r="G3439" s="25"/>
      <c r="H3439" s="475"/>
    </row>
    <row r="3440" customFormat="false" ht="12.8" hidden="false" customHeight="false" outlineLevel="0" collapsed="false">
      <c r="G3440" s="25"/>
      <c r="H3440" s="475"/>
      <c r="J3440" s="462"/>
    </row>
    <row r="3441" customFormat="false" ht="12.8" hidden="false" customHeight="false" outlineLevel="0" collapsed="false">
      <c r="G3441" s="25"/>
      <c r="H3441" s="475"/>
      <c r="J3441" s="462"/>
    </row>
    <row r="3442" customFormat="false" ht="12.8" hidden="false" customHeight="false" outlineLevel="0" collapsed="false">
      <c r="G3442" s="25"/>
      <c r="H3442" s="475"/>
      <c r="J3442" s="462"/>
    </row>
    <row r="3443" customFormat="false" ht="12.8" hidden="false" customHeight="false" outlineLevel="0" collapsed="false">
      <c r="G3443" s="25"/>
      <c r="H3443" s="475"/>
      <c r="J3443" s="462"/>
    </row>
    <row r="3444" customFormat="false" ht="12.8" hidden="false" customHeight="false" outlineLevel="0" collapsed="false">
      <c r="G3444" s="25"/>
      <c r="H3444" s="475"/>
    </row>
    <row r="3445" customFormat="false" ht="12.8" hidden="false" customHeight="false" outlineLevel="0" collapsed="false">
      <c r="G3445" s="25"/>
      <c r="H3445" s="475"/>
    </row>
    <row r="3446" customFormat="false" ht="12.8" hidden="false" customHeight="false" outlineLevel="0" collapsed="false">
      <c r="G3446" s="25"/>
      <c r="H3446" s="475"/>
    </row>
    <row r="3447" customFormat="false" ht="12.8" hidden="false" customHeight="false" outlineLevel="0" collapsed="false">
      <c r="G3447" s="25"/>
      <c r="H3447" s="475"/>
    </row>
    <row r="3448" customFormat="false" ht="12.8" hidden="false" customHeight="false" outlineLevel="0" collapsed="false">
      <c r="G3448" s="25"/>
      <c r="H3448" s="475"/>
    </row>
    <row r="3449" customFormat="false" ht="12.8" hidden="false" customHeight="false" outlineLevel="0" collapsed="false">
      <c r="G3449" s="25"/>
      <c r="H3449" s="475"/>
    </row>
    <row r="3450" customFormat="false" ht="12.8" hidden="false" customHeight="false" outlineLevel="0" collapsed="false">
      <c r="G3450" s="25"/>
      <c r="H3450" s="475"/>
      <c r="J3450" s="462"/>
    </row>
    <row r="3451" customFormat="false" ht="12.8" hidden="false" customHeight="false" outlineLevel="0" collapsed="false">
      <c r="G3451" s="25"/>
      <c r="H3451" s="475"/>
      <c r="J3451" s="462"/>
    </row>
    <row r="3452" customFormat="false" ht="12.8" hidden="false" customHeight="false" outlineLevel="0" collapsed="false">
      <c r="G3452" s="25"/>
      <c r="H3452" s="475"/>
      <c r="J3452" s="462"/>
    </row>
    <row r="3453" customFormat="false" ht="12.8" hidden="false" customHeight="false" outlineLevel="0" collapsed="false">
      <c r="G3453" s="25"/>
      <c r="H3453" s="475"/>
    </row>
    <row r="3454" customFormat="false" ht="12.8" hidden="false" customHeight="false" outlineLevel="0" collapsed="false">
      <c r="G3454" s="25"/>
      <c r="H3454" s="475"/>
    </row>
    <row r="3455" customFormat="false" ht="12.8" hidden="false" customHeight="false" outlineLevel="0" collapsed="false">
      <c r="G3455" s="25"/>
      <c r="H3455" s="475"/>
    </row>
    <row r="3456" customFormat="false" ht="12.8" hidden="false" customHeight="false" outlineLevel="0" collapsed="false">
      <c r="G3456" s="25"/>
      <c r="H3456" s="475"/>
    </row>
    <row r="3457" customFormat="false" ht="12.8" hidden="false" customHeight="false" outlineLevel="0" collapsed="false">
      <c r="G3457" s="25"/>
      <c r="H3457" s="475"/>
    </row>
    <row r="3458" customFormat="false" ht="12.8" hidden="false" customHeight="false" outlineLevel="0" collapsed="false">
      <c r="G3458" s="25"/>
      <c r="H3458" s="475"/>
      <c r="J3458" s="462"/>
    </row>
    <row r="3459" customFormat="false" ht="12.8" hidden="false" customHeight="false" outlineLevel="0" collapsed="false">
      <c r="G3459" s="25"/>
      <c r="H3459" s="475"/>
      <c r="J3459" s="462"/>
    </row>
    <row r="3460" customFormat="false" ht="12.8" hidden="false" customHeight="false" outlineLevel="0" collapsed="false">
      <c r="G3460" s="25"/>
      <c r="H3460" s="475"/>
    </row>
    <row r="3461" customFormat="false" ht="12.8" hidden="false" customHeight="false" outlineLevel="0" collapsed="false">
      <c r="G3461" s="25"/>
      <c r="H3461" s="475"/>
    </row>
    <row r="3462" customFormat="false" ht="12.8" hidden="false" customHeight="false" outlineLevel="0" collapsed="false">
      <c r="G3462" s="25"/>
      <c r="H3462" s="475"/>
    </row>
    <row r="3463" customFormat="false" ht="12.8" hidden="false" customHeight="false" outlineLevel="0" collapsed="false">
      <c r="G3463" s="25"/>
      <c r="H3463" s="475"/>
    </row>
    <row r="3464" customFormat="false" ht="12.8" hidden="false" customHeight="false" outlineLevel="0" collapsed="false">
      <c r="G3464" s="25"/>
      <c r="H3464" s="475"/>
    </row>
    <row r="3465" customFormat="false" ht="12.8" hidden="false" customHeight="false" outlineLevel="0" collapsed="false">
      <c r="G3465" s="25"/>
      <c r="H3465" s="475"/>
      <c r="J3465" s="462"/>
    </row>
    <row r="3466" customFormat="false" ht="12.8" hidden="false" customHeight="false" outlineLevel="0" collapsed="false">
      <c r="G3466" s="25"/>
      <c r="H3466" s="475"/>
      <c r="J3466" s="462"/>
    </row>
    <row r="3467" customFormat="false" ht="12.8" hidden="false" customHeight="false" outlineLevel="0" collapsed="false">
      <c r="G3467" s="25"/>
      <c r="H3467" s="475"/>
      <c r="J3467" s="462"/>
    </row>
    <row r="3468" customFormat="false" ht="12.8" hidden="false" customHeight="false" outlineLevel="0" collapsed="false">
      <c r="G3468" s="25"/>
      <c r="H3468" s="475"/>
      <c r="J3468" s="462"/>
    </row>
    <row r="3469" customFormat="false" ht="12.8" hidden="false" customHeight="false" outlineLevel="0" collapsed="false">
      <c r="G3469" s="25"/>
      <c r="H3469" s="475"/>
      <c r="J3469" s="462"/>
    </row>
    <row r="3470" customFormat="false" ht="12.8" hidden="false" customHeight="false" outlineLevel="0" collapsed="false">
      <c r="G3470" s="25"/>
      <c r="H3470" s="475"/>
      <c r="J3470" s="462"/>
    </row>
    <row r="3471" customFormat="false" ht="12.8" hidden="false" customHeight="false" outlineLevel="0" collapsed="false">
      <c r="G3471" s="25"/>
      <c r="H3471" s="475"/>
      <c r="J3471" s="462"/>
    </row>
    <row r="3472" customFormat="false" ht="12.8" hidden="false" customHeight="false" outlineLevel="0" collapsed="false">
      <c r="G3472" s="25"/>
      <c r="H3472" s="475"/>
      <c r="J3472" s="462"/>
    </row>
    <row r="3473" customFormat="false" ht="12.8" hidden="false" customHeight="false" outlineLevel="0" collapsed="false">
      <c r="G3473" s="25"/>
      <c r="H3473" s="475"/>
    </row>
    <row r="3474" customFormat="false" ht="12.8" hidden="false" customHeight="false" outlineLevel="0" collapsed="false">
      <c r="G3474" s="25"/>
      <c r="H3474" s="475"/>
    </row>
    <row r="3475" customFormat="false" ht="12.8" hidden="false" customHeight="false" outlineLevel="0" collapsed="false">
      <c r="G3475" s="25"/>
      <c r="H3475" s="475"/>
    </row>
    <row r="3476" customFormat="false" ht="12.8" hidden="false" customHeight="false" outlineLevel="0" collapsed="false">
      <c r="G3476" s="25"/>
      <c r="H3476" s="475"/>
      <c r="J3476" s="462"/>
    </row>
    <row r="3477" customFormat="false" ht="12.8" hidden="false" customHeight="false" outlineLevel="0" collapsed="false">
      <c r="G3477" s="25"/>
      <c r="H3477" s="475"/>
      <c r="J3477" s="462"/>
    </row>
    <row r="3478" customFormat="false" ht="12.8" hidden="false" customHeight="false" outlineLevel="0" collapsed="false">
      <c r="G3478" s="25"/>
      <c r="H3478" s="475"/>
    </row>
    <row r="3479" customFormat="false" ht="12.8" hidden="false" customHeight="false" outlineLevel="0" collapsed="false">
      <c r="G3479" s="25"/>
      <c r="H3479" s="475"/>
      <c r="J3479" s="462"/>
    </row>
    <row r="3480" customFormat="false" ht="12.8" hidden="false" customHeight="false" outlineLevel="0" collapsed="false">
      <c r="G3480" s="25"/>
      <c r="H3480" s="475"/>
      <c r="J3480" s="462"/>
    </row>
    <row r="3481" customFormat="false" ht="12.8" hidden="false" customHeight="false" outlineLevel="0" collapsed="false">
      <c r="G3481" s="25"/>
      <c r="H3481" s="475"/>
      <c r="J3481" s="462"/>
    </row>
    <row r="3482" customFormat="false" ht="12.8" hidden="false" customHeight="false" outlineLevel="0" collapsed="false">
      <c r="G3482" s="25"/>
      <c r="H3482" s="475"/>
    </row>
    <row r="3483" customFormat="false" ht="12.8" hidden="false" customHeight="false" outlineLevel="0" collapsed="false">
      <c r="G3483" s="25"/>
      <c r="H3483" s="475"/>
    </row>
    <row r="3484" customFormat="false" ht="12.8" hidden="false" customHeight="false" outlineLevel="0" collapsed="false">
      <c r="G3484" s="25"/>
      <c r="H3484" s="475"/>
    </row>
    <row r="3485" customFormat="false" ht="12.8" hidden="false" customHeight="false" outlineLevel="0" collapsed="false">
      <c r="G3485" s="25"/>
      <c r="H3485" s="475"/>
    </row>
    <row r="3486" customFormat="false" ht="12.8" hidden="false" customHeight="false" outlineLevel="0" collapsed="false">
      <c r="G3486" s="25"/>
      <c r="H3486" s="475"/>
    </row>
    <row r="3487" customFormat="false" ht="12.8" hidden="false" customHeight="false" outlineLevel="0" collapsed="false">
      <c r="G3487" s="25"/>
      <c r="H3487" s="475"/>
    </row>
    <row r="3488" customFormat="false" ht="12.8" hidden="false" customHeight="false" outlineLevel="0" collapsed="false">
      <c r="G3488" s="25"/>
      <c r="H3488" s="475"/>
      <c r="J3488" s="462"/>
    </row>
    <row r="3489" customFormat="false" ht="12.8" hidden="false" customHeight="false" outlineLevel="0" collapsed="false">
      <c r="G3489" s="25"/>
      <c r="H3489" s="475"/>
      <c r="J3489" s="462"/>
    </row>
    <row r="3490" customFormat="false" ht="12.8" hidden="false" customHeight="false" outlineLevel="0" collapsed="false">
      <c r="G3490" s="25"/>
      <c r="H3490" s="475"/>
    </row>
    <row r="3491" customFormat="false" ht="12.8" hidden="false" customHeight="false" outlineLevel="0" collapsed="false">
      <c r="G3491" s="25"/>
      <c r="H3491" s="475"/>
      <c r="J3491" s="462"/>
    </row>
    <row r="3492" customFormat="false" ht="12.8" hidden="false" customHeight="false" outlineLevel="0" collapsed="false">
      <c r="G3492" s="25"/>
      <c r="H3492" s="475"/>
      <c r="J3492" s="462"/>
    </row>
    <row r="3493" customFormat="false" ht="12.8" hidden="false" customHeight="false" outlineLevel="0" collapsed="false">
      <c r="G3493" s="25"/>
      <c r="H3493" s="475"/>
    </row>
    <row r="3494" customFormat="false" ht="12.8" hidden="false" customHeight="false" outlineLevel="0" collapsed="false">
      <c r="G3494" s="25"/>
      <c r="H3494" s="475"/>
    </row>
    <row r="3495" customFormat="false" ht="12.8" hidden="false" customHeight="false" outlineLevel="0" collapsed="false">
      <c r="G3495" s="25"/>
      <c r="H3495" s="475"/>
    </row>
    <row r="3496" customFormat="false" ht="12.8" hidden="false" customHeight="false" outlineLevel="0" collapsed="false">
      <c r="G3496" s="25"/>
      <c r="H3496" s="475"/>
      <c r="J3496" s="462"/>
    </row>
    <row r="3497" customFormat="false" ht="12.8" hidden="false" customHeight="false" outlineLevel="0" collapsed="false">
      <c r="G3497" s="25"/>
      <c r="H3497" s="475"/>
      <c r="J3497" s="462"/>
    </row>
    <row r="3498" customFormat="false" ht="12.8" hidden="false" customHeight="false" outlineLevel="0" collapsed="false">
      <c r="G3498" s="25"/>
      <c r="H3498" s="475"/>
    </row>
    <row r="3499" customFormat="false" ht="12.8" hidden="false" customHeight="false" outlineLevel="0" collapsed="false">
      <c r="G3499" s="25"/>
      <c r="H3499" s="475"/>
    </row>
    <row r="3500" customFormat="false" ht="12.8" hidden="false" customHeight="false" outlineLevel="0" collapsed="false">
      <c r="G3500" s="25"/>
      <c r="H3500" s="475"/>
    </row>
    <row r="3501" customFormat="false" ht="12.8" hidden="false" customHeight="false" outlineLevel="0" collapsed="false">
      <c r="G3501" s="25"/>
      <c r="H3501" s="475"/>
    </row>
    <row r="3502" customFormat="false" ht="12.8" hidden="false" customHeight="false" outlineLevel="0" collapsed="false">
      <c r="G3502" s="25"/>
      <c r="H3502" s="475"/>
      <c r="J3502" s="462"/>
    </row>
    <row r="3503" customFormat="false" ht="12.8" hidden="false" customHeight="false" outlineLevel="0" collapsed="false">
      <c r="G3503" s="25"/>
      <c r="H3503" s="475"/>
      <c r="J3503" s="462"/>
    </row>
    <row r="3504" customFormat="false" ht="12.8" hidden="false" customHeight="false" outlineLevel="0" collapsed="false">
      <c r="G3504" s="25"/>
      <c r="H3504" s="475"/>
      <c r="J3504" s="462"/>
    </row>
    <row r="3505" customFormat="false" ht="12.8" hidden="false" customHeight="false" outlineLevel="0" collapsed="false">
      <c r="G3505" s="25"/>
      <c r="H3505" s="475"/>
      <c r="J3505" s="462"/>
    </row>
    <row r="3506" customFormat="false" ht="12.8" hidden="false" customHeight="false" outlineLevel="0" collapsed="false">
      <c r="G3506" s="25"/>
      <c r="H3506" s="475"/>
    </row>
    <row r="3507" customFormat="false" ht="12.8" hidden="false" customHeight="false" outlineLevel="0" collapsed="false">
      <c r="G3507" s="25"/>
      <c r="H3507" s="475"/>
    </row>
    <row r="3508" customFormat="false" ht="12.8" hidden="false" customHeight="false" outlineLevel="0" collapsed="false">
      <c r="G3508" s="25"/>
      <c r="H3508" s="475"/>
    </row>
    <row r="3509" customFormat="false" ht="12.8" hidden="false" customHeight="false" outlineLevel="0" collapsed="false">
      <c r="G3509" s="25"/>
      <c r="H3509" s="475"/>
    </row>
    <row r="3510" customFormat="false" ht="12.8" hidden="false" customHeight="false" outlineLevel="0" collapsed="false">
      <c r="G3510" s="25"/>
      <c r="H3510" s="475"/>
    </row>
    <row r="3511" customFormat="false" ht="12.8" hidden="false" customHeight="false" outlineLevel="0" collapsed="false">
      <c r="G3511" s="25"/>
      <c r="H3511" s="475"/>
    </row>
    <row r="3512" customFormat="false" ht="12.8" hidden="false" customHeight="false" outlineLevel="0" collapsed="false">
      <c r="G3512" s="25"/>
      <c r="H3512" s="475"/>
      <c r="J3512" s="462"/>
    </row>
    <row r="3513" customFormat="false" ht="12.8" hidden="false" customHeight="false" outlineLevel="0" collapsed="false">
      <c r="G3513" s="25"/>
      <c r="H3513" s="475"/>
      <c r="J3513" s="462"/>
    </row>
    <row r="3514" customFormat="false" ht="12.8" hidden="false" customHeight="false" outlineLevel="0" collapsed="false">
      <c r="G3514" s="25"/>
      <c r="H3514" s="475"/>
    </row>
    <row r="3515" customFormat="false" ht="12.8" hidden="false" customHeight="false" outlineLevel="0" collapsed="false">
      <c r="G3515" s="25"/>
      <c r="H3515" s="475"/>
    </row>
    <row r="3516" customFormat="false" ht="12.8" hidden="false" customHeight="false" outlineLevel="0" collapsed="false">
      <c r="G3516" s="25"/>
      <c r="H3516" s="475"/>
    </row>
    <row r="3517" customFormat="false" ht="12.8" hidden="false" customHeight="false" outlineLevel="0" collapsed="false">
      <c r="G3517" s="25"/>
      <c r="H3517" s="475"/>
      <c r="J3517" s="462"/>
    </row>
    <row r="3518" customFormat="false" ht="12.8" hidden="false" customHeight="false" outlineLevel="0" collapsed="false">
      <c r="G3518" s="25"/>
      <c r="H3518" s="475"/>
      <c r="J3518" s="462"/>
    </row>
    <row r="3519" customFormat="false" ht="12.8" hidden="false" customHeight="false" outlineLevel="0" collapsed="false">
      <c r="G3519" s="25"/>
      <c r="H3519" s="475"/>
    </row>
    <row r="3520" customFormat="false" ht="12.8" hidden="false" customHeight="false" outlineLevel="0" collapsed="false">
      <c r="G3520" s="25"/>
      <c r="H3520" s="475"/>
    </row>
    <row r="3521" customFormat="false" ht="12.8" hidden="false" customHeight="false" outlineLevel="0" collapsed="false">
      <c r="G3521" s="25"/>
      <c r="H3521" s="475"/>
    </row>
    <row r="3522" customFormat="false" ht="12.8" hidden="false" customHeight="false" outlineLevel="0" collapsed="false">
      <c r="G3522" s="25"/>
      <c r="H3522" s="475"/>
      <c r="J3522" s="462"/>
    </row>
    <row r="3523" customFormat="false" ht="12.8" hidden="false" customHeight="false" outlineLevel="0" collapsed="false">
      <c r="G3523" s="25"/>
      <c r="H3523" s="475"/>
      <c r="J3523" s="462"/>
    </row>
    <row r="3524" customFormat="false" ht="12.8" hidden="false" customHeight="false" outlineLevel="0" collapsed="false">
      <c r="G3524" s="25"/>
      <c r="H3524" s="475"/>
    </row>
    <row r="3525" customFormat="false" ht="12.8" hidden="false" customHeight="false" outlineLevel="0" collapsed="false">
      <c r="G3525" s="25"/>
      <c r="H3525" s="475"/>
    </row>
    <row r="3526" customFormat="false" ht="12.8" hidden="false" customHeight="false" outlineLevel="0" collapsed="false">
      <c r="G3526" s="25"/>
      <c r="H3526" s="475"/>
    </row>
    <row r="3527" customFormat="false" ht="12.8" hidden="false" customHeight="false" outlineLevel="0" collapsed="false">
      <c r="G3527" s="25"/>
      <c r="H3527" s="475"/>
    </row>
    <row r="3528" customFormat="false" ht="12.8" hidden="false" customHeight="false" outlineLevel="0" collapsed="false">
      <c r="G3528" s="25"/>
      <c r="H3528" s="475"/>
      <c r="J3528" s="462"/>
    </row>
    <row r="3529" customFormat="false" ht="12.8" hidden="false" customHeight="false" outlineLevel="0" collapsed="false">
      <c r="G3529" s="25"/>
      <c r="H3529" s="475"/>
      <c r="J3529" s="462"/>
    </row>
    <row r="3530" customFormat="false" ht="12.8" hidden="false" customHeight="false" outlineLevel="0" collapsed="false">
      <c r="G3530" s="25"/>
      <c r="H3530" s="475"/>
    </row>
    <row r="3531" customFormat="false" ht="12.8" hidden="false" customHeight="false" outlineLevel="0" collapsed="false">
      <c r="G3531" s="25"/>
      <c r="H3531" s="475"/>
    </row>
    <row r="3532" customFormat="false" ht="12.8" hidden="false" customHeight="false" outlineLevel="0" collapsed="false">
      <c r="G3532" s="25"/>
      <c r="H3532" s="475"/>
      <c r="J3532" s="462"/>
    </row>
    <row r="3533" customFormat="false" ht="12.8" hidden="false" customHeight="false" outlineLevel="0" collapsed="false">
      <c r="G3533" s="25"/>
      <c r="H3533" s="475"/>
      <c r="J3533" s="462"/>
    </row>
    <row r="3534" customFormat="false" ht="12.8" hidden="false" customHeight="false" outlineLevel="0" collapsed="false">
      <c r="G3534" s="25"/>
      <c r="H3534" s="475"/>
      <c r="J3534" s="462"/>
    </row>
    <row r="3535" customFormat="false" ht="12.8" hidden="false" customHeight="false" outlineLevel="0" collapsed="false">
      <c r="G3535" s="25"/>
      <c r="H3535" s="475"/>
      <c r="J3535" s="462"/>
    </row>
    <row r="3536" customFormat="false" ht="12.8" hidden="false" customHeight="false" outlineLevel="0" collapsed="false">
      <c r="G3536" s="25"/>
      <c r="H3536" s="475"/>
    </row>
    <row r="3537" customFormat="false" ht="12.8" hidden="false" customHeight="false" outlineLevel="0" collapsed="false">
      <c r="G3537" s="25"/>
      <c r="H3537" s="475"/>
    </row>
    <row r="3538" customFormat="false" ht="12.8" hidden="false" customHeight="false" outlineLevel="0" collapsed="false">
      <c r="G3538" s="25"/>
      <c r="H3538" s="475"/>
    </row>
    <row r="3539" customFormat="false" ht="12.8" hidden="false" customHeight="false" outlineLevel="0" collapsed="false">
      <c r="G3539" s="25"/>
      <c r="H3539" s="475"/>
      <c r="J3539" s="462"/>
    </row>
    <row r="3540" customFormat="false" ht="12.8" hidden="false" customHeight="false" outlineLevel="0" collapsed="false">
      <c r="G3540" s="25"/>
      <c r="H3540" s="475"/>
      <c r="J3540" s="462"/>
    </row>
    <row r="3541" customFormat="false" ht="12.8" hidden="false" customHeight="false" outlineLevel="0" collapsed="false">
      <c r="G3541" s="25"/>
      <c r="H3541" s="475"/>
    </row>
    <row r="3542" customFormat="false" ht="12.8" hidden="false" customHeight="false" outlineLevel="0" collapsed="false">
      <c r="G3542" s="25"/>
      <c r="H3542" s="475"/>
    </row>
    <row r="3543" customFormat="false" ht="12.8" hidden="false" customHeight="false" outlineLevel="0" collapsed="false">
      <c r="G3543" s="25"/>
      <c r="H3543" s="475"/>
    </row>
    <row r="3544" customFormat="false" ht="12.8" hidden="false" customHeight="false" outlineLevel="0" collapsed="false">
      <c r="G3544" s="25"/>
      <c r="H3544" s="475"/>
    </row>
    <row r="3545" customFormat="false" ht="12.8" hidden="false" customHeight="false" outlineLevel="0" collapsed="false">
      <c r="G3545" s="25"/>
      <c r="H3545" s="475"/>
      <c r="J3545" s="462"/>
    </row>
    <row r="3546" customFormat="false" ht="12.8" hidden="false" customHeight="false" outlineLevel="0" collapsed="false">
      <c r="G3546" s="25"/>
      <c r="H3546" s="475"/>
      <c r="J3546" s="462"/>
    </row>
    <row r="3547" customFormat="false" ht="12.8" hidden="false" customHeight="false" outlineLevel="0" collapsed="false">
      <c r="G3547" s="25"/>
      <c r="H3547" s="475"/>
      <c r="J3547" s="462"/>
    </row>
    <row r="3548" customFormat="false" ht="12.8" hidden="false" customHeight="false" outlineLevel="0" collapsed="false">
      <c r="G3548" s="25"/>
      <c r="H3548" s="475"/>
    </row>
    <row r="3549" customFormat="false" ht="12.8" hidden="false" customHeight="false" outlineLevel="0" collapsed="false">
      <c r="G3549" s="25"/>
      <c r="H3549" s="475"/>
    </row>
    <row r="3550" customFormat="false" ht="12.8" hidden="false" customHeight="false" outlineLevel="0" collapsed="false">
      <c r="G3550" s="25"/>
      <c r="H3550" s="475"/>
      <c r="J3550" s="462"/>
    </row>
    <row r="3551" customFormat="false" ht="12.8" hidden="false" customHeight="false" outlineLevel="0" collapsed="false">
      <c r="G3551" s="25"/>
      <c r="H3551" s="475"/>
      <c r="J3551" s="462"/>
    </row>
    <row r="3552" customFormat="false" ht="12.8" hidden="false" customHeight="false" outlineLevel="0" collapsed="false">
      <c r="G3552" s="25"/>
      <c r="H3552" s="475"/>
      <c r="J3552" s="462"/>
    </row>
    <row r="3553" customFormat="false" ht="12.8" hidden="false" customHeight="false" outlineLevel="0" collapsed="false">
      <c r="G3553" s="25"/>
      <c r="H3553" s="475"/>
    </row>
    <row r="3554" customFormat="false" ht="12.8" hidden="false" customHeight="false" outlineLevel="0" collapsed="false">
      <c r="G3554" s="25"/>
      <c r="H3554" s="475"/>
    </row>
    <row r="3555" customFormat="false" ht="12.8" hidden="false" customHeight="false" outlineLevel="0" collapsed="false">
      <c r="G3555" s="25"/>
      <c r="H3555" s="475"/>
    </row>
    <row r="3556" customFormat="false" ht="12.8" hidden="false" customHeight="false" outlineLevel="0" collapsed="false">
      <c r="G3556" s="25"/>
      <c r="H3556" s="475"/>
      <c r="J3556" s="462"/>
    </row>
    <row r="3557" customFormat="false" ht="12.8" hidden="false" customHeight="false" outlineLevel="0" collapsed="false">
      <c r="G3557" s="25"/>
      <c r="H3557" s="475"/>
      <c r="J3557" s="462"/>
    </row>
    <row r="3558" customFormat="false" ht="12.8" hidden="false" customHeight="false" outlineLevel="0" collapsed="false">
      <c r="G3558" s="25"/>
      <c r="H3558" s="475"/>
      <c r="J3558" s="462"/>
    </row>
    <row r="3559" customFormat="false" ht="12.8" hidden="false" customHeight="false" outlineLevel="0" collapsed="false">
      <c r="G3559" s="25"/>
      <c r="H3559" s="475"/>
    </row>
    <row r="3560" customFormat="false" ht="12.8" hidden="false" customHeight="false" outlineLevel="0" collapsed="false">
      <c r="G3560" s="25"/>
      <c r="H3560" s="475"/>
    </row>
    <row r="3561" customFormat="false" ht="12.8" hidden="false" customHeight="false" outlineLevel="0" collapsed="false">
      <c r="G3561" s="25"/>
      <c r="H3561" s="475"/>
    </row>
    <row r="3562" customFormat="false" ht="12.8" hidden="false" customHeight="false" outlineLevel="0" collapsed="false">
      <c r="G3562" s="25"/>
      <c r="H3562" s="475"/>
      <c r="J3562" s="462"/>
    </row>
    <row r="3563" customFormat="false" ht="12.8" hidden="false" customHeight="false" outlineLevel="0" collapsed="false">
      <c r="G3563" s="25"/>
      <c r="H3563" s="475"/>
      <c r="J3563" s="462"/>
    </row>
    <row r="3564" customFormat="false" ht="12.8" hidden="false" customHeight="false" outlineLevel="0" collapsed="false">
      <c r="G3564" s="25"/>
      <c r="H3564" s="475"/>
      <c r="J3564" s="462"/>
    </row>
    <row r="3565" customFormat="false" ht="12.8" hidden="false" customHeight="false" outlineLevel="0" collapsed="false">
      <c r="G3565" s="25"/>
      <c r="H3565" s="475"/>
    </row>
    <row r="3566" customFormat="false" ht="12.8" hidden="false" customHeight="false" outlineLevel="0" collapsed="false">
      <c r="G3566" s="25"/>
      <c r="H3566" s="475"/>
    </row>
    <row r="3567" customFormat="false" ht="12.8" hidden="false" customHeight="false" outlineLevel="0" collapsed="false">
      <c r="G3567" s="25"/>
      <c r="H3567" s="475"/>
      <c r="J3567" s="462"/>
    </row>
    <row r="3568" customFormat="false" ht="12.8" hidden="false" customHeight="false" outlineLevel="0" collapsed="false">
      <c r="G3568" s="25"/>
      <c r="H3568" s="475"/>
      <c r="J3568" s="462"/>
    </row>
    <row r="3569" customFormat="false" ht="12.8" hidden="false" customHeight="false" outlineLevel="0" collapsed="false">
      <c r="G3569" s="25"/>
      <c r="H3569" s="475"/>
      <c r="J3569" s="462"/>
    </row>
    <row r="3570" customFormat="false" ht="12.8" hidden="false" customHeight="false" outlineLevel="0" collapsed="false">
      <c r="G3570" s="25"/>
      <c r="H3570" s="475"/>
    </row>
    <row r="3571" customFormat="false" ht="12.8" hidden="false" customHeight="false" outlineLevel="0" collapsed="false">
      <c r="G3571" s="25"/>
      <c r="H3571" s="475"/>
    </row>
    <row r="3572" customFormat="false" ht="12.8" hidden="false" customHeight="false" outlineLevel="0" collapsed="false">
      <c r="G3572" s="25"/>
      <c r="H3572" s="475"/>
    </row>
    <row r="3573" customFormat="false" ht="12.8" hidden="false" customHeight="false" outlineLevel="0" collapsed="false">
      <c r="G3573" s="25"/>
      <c r="H3573" s="475"/>
      <c r="J3573" s="462"/>
    </row>
    <row r="3574" customFormat="false" ht="12.8" hidden="false" customHeight="false" outlineLevel="0" collapsed="false">
      <c r="G3574" s="25"/>
      <c r="H3574" s="475"/>
      <c r="J3574" s="462"/>
    </row>
    <row r="3575" customFormat="false" ht="12.8" hidden="false" customHeight="false" outlineLevel="0" collapsed="false">
      <c r="G3575" s="25"/>
      <c r="H3575" s="475"/>
      <c r="J3575" s="462"/>
    </row>
    <row r="3576" customFormat="false" ht="12.8" hidden="false" customHeight="false" outlineLevel="0" collapsed="false">
      <c r="G3576" s="25"/>
      <c r="H3576" s="475"/>
    </row>
    <row r="3577" customFormat="false" ht="12.8" hidden="false" customHeight="false" outlineLevel="0" collapsed="false">
      <c r="G3577" s="25"/>
      <c r="H3577" s="475"/>
    </row>
    <row r="3578" customFormat="false" ht="12.8" hidden="false" customHeight="false" outlineLevel="0" collapsed="false">
      <c r="G3578" s="25"/>
      <c r="H3578" s="475"/>
      <c r="J3578" s="462"/>
    </row>
    <row r="3579" customFormat="false" ht="12.8" hidden="false" customHeight="false" outlineLevel="0" collapsed="false">
      <c r="G3579" s="25"/>
      <c r="H3579" s="475"/>
      <c r="J3579" s="462"/>
    </row>
    <row r="3580" customFormat="false" ht="12.8" hidden="false" customHeight="false" outlineLevel="0" collapsed="false">
      <c r="G3580" s="25"/>
      <c r="H3580" s="475"/>
      <c r="J3580" s="462"/>
    </row>
    <row r="3581" customFormat="false" ht="12.8" hidden="false" customHeight="false" outlineLevel="0" collapsed="false">
      <c r="G3581" s="25"/>
      <c r="H3581" s="475"/>
    </row>
    <row r="3582" customFormat="false" ht="12.8" hidden="false" customHeight="false" outlineLevel="0" collapsed="false">
      <c r="G3582" s="25"/>
      <c r="H3582" s="475"/>
    </row>
    <row r="3583" customFormat="false" ht="12.8" hidden="false" customHeight="false" outlineLevel="0" collapsed="false">
      <c r="G3583" s="25"/>
      <c r="H3583" s="475"/>
    </row>
    <row r="3584" customFormat="false" ht="12.8" hidden="false" customHeight="false" outlineLevel="0" collapsed="false">
      <c r="G3584" s="25"/>
      <c r="H3584" s="475"/>
      <c r="J3584" s="462"/>
    </row>
    <row r="3585" customFormat="false" ht="12.8" hidden="false" customHeight="false" outlineLevel="0" collapsed="false">
      <c r="G3585" s="25"/>
      <c r="H3585" s="475"/>
      <c r="J3585" s="462"/>
    </row>
    <row r="3586" customFormat="false" ht="12.8" hidden="false" customHeight="false" outlineLevel="0" collapsed="false">
      <c r="G3586" s="25"/>
      <c r="H3586" s="475"/>
      <c r="J3586" s="462"/>
    </row>
    <row r="3587" customFormat="false" ht="12.8" hidden="false" customHeight="false" outlineLevel="0" collapsed="false">
      <c r="G3587" s="25"/>
      <c r="H3587" s="475"/>
      <c r="J3587" s="462"/>
    </row>
    <row r="3588" customFormat="false" ht="12.8" hidden="false" customHeight="false" outlineLevel="0" collapsed="false">
      <c r="G3588" s="25"/>
      <c r="H3588" s="475"/>
      <c r="J3588" s="462"/>
    </row>
    <row r="3589" customFormat="false" ht="12.8" hidden="false" customHeight="false" outlineLevel="0" collapsed="false">
      <c r="G3589" s="25"/>
      <c r="H3589" s="475"/>
      <c r="J3589" s="462"/>
    </row>
    <row r="3590" customFormat="false" ht="12.8" hidden="false" customHeight="false" outlineLevel="0" collapsed="false">
      <c r="G3590" s="25"/>
      <c r="H3590" s="475"/>
    </row>
    <row r="3591" customFormat="false" ht="12.8" hidden="false" customHeight="false" outlineLevel="0" collapsed="false">
      <c r="G3591" s="25"/>
      <c r="H3591" s="475"/>
    </row>
    <row r="3592" customFormat="false" ht="12.8" hidden="false" customHeight="false" outlineLevel="0" collapsed="false">
      <c r="G3592" s="25"/>
      <c r="H3592" s="475"/>
    </row>
    <row r="3593" customFormat="false" ht="12.8" hidden="false" customHeight="false" outlineLevel="0" collapsed="false">
      <c r="G3593" s="25"/>
      <c r="H3593" s="475"/>
      <c r="J3593" s="462"/>
    </row>
    <row r="3594" customFormat="false" ht="12.8" hidden="false" customHeight="false" outlineLevel="0" collapsed="false">
      <c r="G3594" s="25"/>
      <c r="H3594" s="475"/>
      <c r="J3594" s="462"/>
    </row>
    <row r="3595" customFormat="false" ht="12.8" hidden="false" customHeight="false" outlineLevel="0" collapsed="false">
      <c r="G3595" s="25"/>
      <c r="H3595" s="475"/>
      <c r="J3595" s="462"/>
    </row>
    <row r="3596" customFormat="false" ht="12.8" hidden="false" customHeight="false" outlineLevel="0" collapsed="false">
      <c r="G3596" s="25"/>
      <c r="H3596" s="475"/>
    </row>
    <row r="3597" customFormat="false" ht="12.8" hidden="false" customHeight="false" outlineLevel="0" collapsed="false">
      <c r="G3597" s="25"/>
      <c r="H3597" s="475"/>
    </row>
    <row r="3598" customFormat="false" ht="12.8" hidden="false" customHeight="false" outlineLevel="0" collapsed="false">
      <c r="G3598" s="25"/>
      <c r="H3598" s="475"/>
      <c r="J3598" s="462"/>
    </row>
    <row r="3599" customFormat="false" ht="12.8" hidden="false" customHeight="false" outlineLevel="0" collapsed="false">
      <c r="G3599" s="25"/>
      <c r="H3599" s="475"/>
      <c r="J3599" s="462"/>
    </row>
    <row r="3600" customFormat="false" ht="12.8" hidden="false" customHeight="false" outlineLevel="0" collapsed="false">
      <c r="G3600" s="25"/>
      <c r="H3600" s="475"/>
      <c r="J3600" s="462"/>
    </row>
    <row r="3601" customFormat="false" ht="12.8" hidden="false" customHeight="false" outlineLevel="0" collapsed="false">
      <c r="G3601" s="25"/>
      <c r="H3601" s="475"/>
    </row>
    <row r="3602" customFormat="false" ht="12.8" hidden="false" customHeight="false" outlineLevel="0" collapsed="false">
      <c r="G3602" s="25"/>
      <c r="H3602" s="475"/>
      <c r="J3602" s="462"/>
    </row>
    <row r="3603" customFormat="false" ht="12.8" hidden="false" customHeight="false" outlineLevel="0" collapsed="false">
      <c r="G3603" s="25"/>
      <c r="H3603" s="475"/>
      <c r="J3603" s="462"/>
    </row>
    <row r="3604" customFormat="false" ht="12.8" hidden="false" customHeight="false" outlineLevel="0" collapsed="false">
      <c r="G3604" s="25"/>
      <c r="H3604" s="475"/>
    </row>
    <row r="3605" customFormat="false" ht="12.8" hidden="false" customHeight="false" outlineLevel="0" collapsed="false">
      <c r="G3605" s="25"/>
      <c r="H3605" s="475"/>
      <c r="J3605" s="462"/>
    </row>
    <row r="3606" customFormat="false" ht="12.8" hidden="false" customHeight="false" outlineLevel="0" collapsed="false">
      <c r="G3606" s="25"/>
      <c r="H3606" s="475"/>
      <c r="J3606" s="462"/>
    </row>
    <row r="3607" customFormat="false" ht="12.8" hidden="false" customHeight="false" outlineLevel="0" collapsed="false">
      <c r="G3607" s="25"/>
      <c r="H3607" s="475"/>
      <c r="J3607" s="462"/>
    </row>
    <row r="3608" customFormat="false" ht="12.8" hidden="false" customHeight="false" outlineLevel="0" collapsed="false">
      <c r="G3608" s="25"/>
      <c r="H3608" s="475"/>
    </row>
    <row r="3609" customFormat="false" ht="12.8" hidden="false" customHeight="false" outlineLevel="0" collapsed="false">
      <c r="G3609" s="25"/>
      <c r="H3609" s="475"/>
    </row>
    <row r="3610" customFormat="false" ht="12.8" hidden="false" customHeight="false" outlineLevel="0" collapsed="false">
      <c r="G3610" s="25"/>
      <c r="H3610" s="475"/>
      <c r="J3610" s="462"/>
    </row>
    <row r="3611" customFormat="false" ht="12.8" hidden="false" customHeight="false" outlineLevel="0" collapsed="false">
      <c r="G3611" s="25"/>
      <c r="H3611" s="475"/>
      <c r="J3611" s="462"/>
    </row>
    <row r="3612" customFormat="false" ht="12.8" hidden="false" customHeight="false" outlineLevel="0" collapsed="false">
      <c r="G3612" s="25"/>
      <c r="H3612" s="475"/>
      <c r="J3612" s="462"/>
    </row>
    <row r="3613" customFormat="false" ht="12.8" hidden="false" customHeight="false" outlineLevel="0" collapsed="false">
      <c r="G3613" s="25"/>
      <c r="H3613" s="475"/>
    </row>
    <row r="3614" customFormat="false" ht="12.8" hidden="false" customHeight="false" outlineLevel="0" collapsed="false">
      <c r="G3614" s="25"/>
      <c r="H3614" s="475"/>
    </row>
    <row r="3615" customFormat="false" ht="12.8" hidden="false" customHeight="false" outlineLevel="0" collapsed="false">
      <c r="G3615" s="25"/>
      <c r="H3615" s="475"/>
      <c r="J3615" s="462"/>
    </row>
    <row r="3616" customFormat="false" ht="12.8" hidden="false" customHeight="false" outlineLevel="0" collapsed="false">
      <c r="G3616" s="25"/>
      <c r="H3616" s="475"/>
      <c r="J3616" s="462"/>
    </row>
    <row r="3617" customFormat="false" ht="12.8" hidden="false" customHeight="false" outlineLevel="0" collapsed="false">
      <c r="G3617" s="25"/>
      <c r="H3617" s="475"/>
    </row>
    <row r="3618" customFormat="false" ht="12.8" hidden="false" customHeight="false" outlineLevel="0" collapsed="false">
      <c r="G3618" s="25"/>
      <c r="H3618" s="475"/>
      <c r="J3618" s="462"/>
    </row>
    <row r="3619" customFormat="false" ht="12.8" hidden="false" customHeight="false" outlineLevel="0" collapsed="false">
      <c r="G3619" s="25"/>
      <c r="H3619" s="475"/>
      <c r="J3619" s="462"/>
    </row>
    <row r="3620" customFormat="false" ht="12.8" hidden="false" customHeight="false" outlineLevel="0" collapsed="false">
      <c r="G3620" s="25"/>
      <c r="H3620" s="475"/>
      <c r="J3620" s="462"/>
    </row>
    <row r="3621" customFormat="false" ht="12.8" hidden="false" customHeight="false" outlineLevel="0" collapsed="false">
      <c r="G3621" s="25"/>
      <c r="H3621" s="475"/>
    </row>
    <row r="3622" customFormat="false" ht="12.8" hidden="false" customHeight="false" outlineLevel="0" collapsed="false">
      <c r="G3622" s="25"/>
      <c r="H3622" s="475"/>
    </row>
    <row r="3623" customFormat="false" ht="12.8" hidden="false" customHeight="false" outlineLevel="0" collapsed="false">
      <c r="G3623" s="25"/>
      <c r="H3623" s="475"/>
    </row>
    <row r="3624" customFormat="false" ht="12.8" hidden="false" customHeight="false" outlineLevel="0" collapsed="false">
      <c r="G3624" s="25"/>
      <c r="H3624" s="475"/>
      <c r="J3624" s="462"/>
    </row>
    <row r="3625" customFormat="false" ht="12.8" hidden="false" customHeight="false" outlineLevel="0" collapsed="false">
      <c r="G3625" s="25"/>
      <c r="H3625" s="475"/>
      <c r="J3625" s="462"/>
    </row>
    <row r="3626" customFormat="false" ht="12.8" hidden="false" customHeight="false" outlineLevel="0" collapsed="false">
      <c r="G3626" s="25"/>
      <c r="H3626" s="475"/>
      <c r="J3626" s="462"/>
    </row>
    <row r="3627" customFormat="false" ht="12.8" hidden="false" customHeight="false" outlineLevel="0" collapsed="false">
      <c r="G3627" s="25"/>
      <c r="H3627" s="475"/>
    </row>
    <row r="3628" customFormat="false" ht="12.8" hidden="false" customHeight="false" outlineLevel="0" collapsed="false">
      <c r="G3628" s="25"/>
      <c r="H3628" s="475"/>
    </row>
    <row r="3629" customFormat="false" ht="12.8" hidden="false" customHeight="false" outlineLevel="0" collapsed="false">
      <c r="G3629" s="25"/>
      <c r="H3629" s="475"/>
      <c r="J3629" s="462"/>
    </row>
    <row r="3630" customFormat="false" ht="12.8" hidden="false" customHeight="false" outlineLevel="0" collapsed="false">
      <c r="G3630" s="25"/>
      <c r="H3630" s="475"/>
      <c r="J3630" s="462"/>
    </row>
    <row r="3631" customFormat="false" ht="12.8" hidden="false" customHeight="false" outlineLevel="0" collapsed="false">
      <c r="G3631" s="25"/>
      <c r="H3631" s="475"/>
      <c r="J3631" s="462"/>
    </row>
    <row r="3632" customFormat="false" ht="12.8" hidden="false" customHeight="false" outlineLevel="0" collapsed="false">
      <c r="G3632" s="25"/>
      <c r="H3632" s="475"/>
    </row>
    <row r="3633" customFormat="false" ht="12.8" hidden="false" customHeight="false" outlineLevel="0" collapsed="false">
      <c r="G3633" s="25"/>
      <c r="H3633" s="475"/>
    </row>
    <row r="3634" customFormat="false" ht="12.8" hidden="false" customHeight="false" outlineLevel="0" collapsed="false">
      <c r="G3634" s="25"/>
      <c r="H3634" s="475"/>
      <c r="J3634" s="462"/>
    </row>
    <row r="3635" customFormat="false" ht="12.8" hidden="false" customHeight="false" outlineLevel="0" collapsed="false">
      <c r="G3635" s="25"/>
      <c r="H3635" s="475"/>
      <c r="J3635" s="462"/>
    </row>
    <row r="3636" customFormat="false" ht="12.8" hidden="false" customHeight="false" outlineLevel="0" collapsed="false">
      <c r="G3636" s="25"/>
      <c r="H3636" s="475"/>
      <c r="J3636" s="462"/>
    </row>
    <row r="3637" customFormat="false" ht="12.8" hidden="false" customHeight="false" outlineLevel="0" collapsed="false">
      <c r="G3637" s="25"/>
      <c r="H3637" s="475"/>
    </row>
    <row r="3638" customFormat="false" ht="12.8" hidden="false" customHeight="false" outlineLevel="0" collapsed="false">
      <c r="G3638" s="25"/>
      <c r="H3638" s="475"/>
    </row>
    <row r="3639" customFormat="false" ht="12.8" hidden="false" customHeight="false" outlineLevel="0" collapsed="false">
      <c r="G3639" s="25"/>
      <c r="H3639" s="475"/>
      <c r="J3639" s="462"/>
    </row>
    <row r="3640" customFormat="false" ht="12.8" hidden="false" customHeight="false" outlineLevel="0" collapsed="false">
      <c r="G3640" s="25"/>
      <c r="H3640" s="475"/>
      <c r="J3640" s="462"/>
    </row>
    <row r="3641" customFormat="false" ht="12.8" hidden="false" customHeight="false" outlineLevel="0" collapsed="false">
      <c r="G3641" s="25"/>
      <c r="H3641" s="475"/>
      <c r="J3641" s="462"/>
    </row>
    <row r="3642" customFormat="false" ht="12.8" hidden="false" customHeight="false" outlineLevel="0" collapsed="false">
      <c r="G3642" s="25"/>
      <c r="H3642" s="475"/>
    </row>
    <row r="3643" customFormat="false" ht="12.8" hidden="false" customHeight="false" outlineLevel="0" collapsed="false">
      <c r="G3643" s="25"/>
      <c r="H3643" s="475"/>
    </row>
    <row r="3644" customFormat="false" ht="12.8" hidden="false" customHeight="false" outlineLevel="0" collapsed="false">
      <c r="G3644" s="25"/>
      <c r="H3644" s="475"/>
    </row>
    <row r="3645" customFormat="false" ht="12.8" hidden="false" customHeight="false" outlineLevel="0" collapsed="false">
      <c r="G3645" s="25"/>
      <c r="H3645" s="475"/>
    </row>
    <row r="3646" customFormat="false" ht="12.8" hidden="false" customHeight="false" outlineLevel="0" collapsed="false">
      <c r="G3646" s="25"/>
      <c r="H3646" s="475"/>
    </row>
    <row r="3647" customFormat="false" ht="12.8" hidden="false" customHeight="false" outlineLevel="0" collapsed="false">
      <c r="G3647" s="25"/>
      <c r="H3647" s="475"/>
    </row>
    <row r="3648" customFormat="false" ht="12.8" hidden="false" customHeight="false" outlineLevel="0" collapsed="false">
      <c r="G3648" s="25"/>
      <c r="H3648" s="475"/>
    </row>
    <row r="3649" customFormat="false" ht="12.8" hidden="false" customHeight="false" outlineLevel="0" collapsed="false">
      <c r="G3649" s="25"/>
      <c r="H3649" s="475"/>
    </row>
    <row r="3650" customFormat="false" ht="12.8" hidden="false" customHeight="false" outlineLevel="0" collapsed="false">
      <c r="G3650" s="25"/>
      <c r="H3650" s="475"/>
    </row>
    <row r="3651" customFormat="false" ht="12.8" hidden="false" customHeight="false" outlineLevel="0" collapsed="false">
      <c r="G3651" s="25"/>
      <c r="H3651" s="475"/>
    </row>
    <row r="3652" customFormat="false" ht="12.8" hidden="false" customHeight="false" outlineLevel="0" collapsed="false">
      <c r="G3652" s="25"/>
      <c r="H3652" s="475"/>
      <c r="J3652" s="462"/>
    </row>
    <row r="3653" customFormat="false" ht="12.8" hidden="false" customHeight="false" outlineLevel="0" collapsed="false">
      <c r="G3653" s="25"/>
      <c r="H3653" s="475"/>
    </row>
    <row r="3654" customFormat="false" ht="12.8" hidden="false" customHeight="false" outlineLevel="0" collapsed="false">
      <c r="G3654" s="25"/>
      <c r="H3654" s="475"/>
    </row>
    <row r="3655" customFormat="false" ht="12.8" hidden="false" customHeight="false" outlineLevel="0" collapsed="false">
      <c r="G3655" s="25"/>
      <c r="H3655" s="475"/>
      <c r="J3655" s="462"/>
    </row>
    <row r="3656" customFormat="false" ht="12.8" hidden="false" customHeight="false" outlineLevel="0" collapsed="false">
      <c r="G3656" s="25"/>
      <c r="H3656" s="475"/>
      <c r="J3656" s="462"/>
    </row>
    <row r="3657" customFormat="false" ht="12.8" hidden="false" customHeight="false" outlineLevel="0" collapsed="false">
      <c r="G3657" s="25"/>
      <c r="H3657" s="475"/>
      <c r="J3657" s="462"/>
    </row>
    <row r="3658" customFormat="false" ht="12.8" hidden="false" customHeight="false" outlineLevel="0" collapsed="false">
      <c r="G3658" s="25"/>
      <c r="H3658" s="475"/>
    </row>
    <row r="3659" customFormat="false" ht="12.8" hidden="false" customHeight="false" outlineLevel="0" collapsed="false">
      <c r="G3659" s="25"/>
      <c r="H3659" s="475"/>
    </row>
    <row r="3660" customFormat="false" ht="12.8" hidden="false" customHeight="false" outlineLevel="0" collapsed="false">
      <c r="G3660" s="25"/>
      <c r="H3660" s="475"/>
      <c r="J3660" s="462"/>
    </row>
    <row r="3661" customFormat="false" ht="12.8" hidden="false" customHeight="false" outlineLevel="0" collapsed="false">
      <c r="G3661" s="25"/>
      <c r="H3661" s="475"/>
      <c r="J3661" s="462"/>
    </row>
    <row r="3662" customFormat="false" ht="12.8" hidden="false" customHeight="false" outlineLevel="0" collapsed="false">
      <c r="G3662" s="25"/>
      <c r="H3662" s="475"/>
      <c r="J3662" s="462"/>
    </row>
    <row r="3663" customFormat="false" ht="12.8" hidden="false" customHeight="false" outlineLevel="0" collapsed="false">
      <c r="G3663" s="25"/>
      <c r="H3663" s="475"/>
    </row>
    <row r="3664" customFormat="false" ht="12.8" hidden="false" customHeight="false" outlineLevel="0" collapsed="false">
      <c r="G3664" s="25"/>
      <c r="H3664" s="475"/>
    </row>
    <row r="3665" customFormat="false" ht="12.8" hidden="false" customHeight="false" outlineLevel="0" collapsed="false">
      <c r="G3665" s="25"/>
      <c r="H3665" s="475"/>
    </row>
    <row r="3666" customFormat="false" ht="12.8" hidden="false" customHeight="false" outlineLevel="0" collapsed="false">
      <c r="G3666" s="25"/>
      <c r="H3666" s="475"/>
      <c r="J3666" s="462"/>
    </row>
    <row r="3667" customFormat="false" ht="12.8" hidden="false" customHeight="false" outlineLevel="0" collapsed="false">
      <c r="G3667" s="25"/>
      <c r="H3667" s="475"/>
      <c r="J3667" s="462"/>
    </row>
    <row r="3668" customFormat="false" ht="12.8" hidden="false" customHeight="false" outlineLevel="0" collapsed="false">
      <c r="G3668" s="25"/>
      <c r="H3668" s="475"/>
      <c r="J3668" s="462"/>
    </row>
    <row r="3669" customFormat="false" ht="12.8" hidden="false" customHeight="false" outlineLevel="0" collapsed="false">
      <c r="G3669" s="25"/>
      <c r="H3669" s="475"/>
    </row>
    <row r="3670" customFormat="false" ht="12.8" hidden="false" customHeight="false" outlineLevel="0" collapsed="false">
      <c r="G3670" s="25"/>
      <c r="H3670" s="475"/>
    </row>
    <row r="3671" customFormat="false" ht="12.8" hidden="false" customHeight="false" outlineLevel="0" collapsed="false">
      <c r="G3671" s="25"/>
      <c r="H3671" s="475"/>
      <c r="J3671" s="462"/>
    </row>
    <row r="3672" customFormat="false" ht="12.8" hidden="false" customHeight="false" outlineLevel="0" collapsed="false">
      <c r="G3672" s="25"/>
      <c r="H3672" s="475"/>
    </row>
    <row r="3673" customFormat="false" ht="12.8" hidden="false" customHeight="false" outlineLevel="0" collapsed="false">
      <c r="G3673" s="25"/>
      <c r="H3673" s="475"/>
    </row>
    <row r="3674" customFormat="false" ht="12.8" hidden="false" customHeight="false" outlineLevel="0" collapsed="false">
      <c r="G3674" s="25"/>
      <c r="H3674" s="475"/>
      <c r="J3674" s="462"/>
    </row>
    <row r="3675" customFormat="false" ht="12.8" hidden="false" customHeight="false" outlineLevel="0" collapsed="false">
      <c r="G3675" s="25"/>
      <c r="H3675" s="475"/>
      <c r="J3675" s="462"/>
    </row>
    <row r="3676" customFormat="false" ht="12.8" hidden="false" customHeight="false" outlineLevel="0" collapsed="false">
      <c r="G3676" s="25"/>
      <c r="H3676" s="475"/>
    </row>
    <row r="3677" customFormat="false" ht="12.8" hidden="false" customHeight="false" outlineLevel="0" collapsed="false">
      <c r="G3677" s="25"/>
      <c r="H3677" s="475"/>
    </row>
    <row r="3678" customFormat="false" ht="12.8" hidden="false" customHeight="false" outlineLevel="0" collapsed="false">
      <c r="G3678" s="25"/>
      <c r="H3678" s="475"/>
    </row>
    <row r="3679" customFormat="false" ht="12.8" hidden="false" customHeight="false" outlineLevel="0" collapsed="false">
      <c r="G3679" s="25"/>
      <c r="H3679" s="475"/>
      <c r="J3679" s="462"/>
    </row>
    <row r="3680" customFormat="false" ht="12.8" hidden="false" customHeight="false" outlineLevel="0" collapsed="false">
      <c r="G3680" s="25"/>
      <c r="H3680" s="475"/>
      <c r="J3680" s="462"/>
    </row>
    <row r="3681" customFormat="false" ht="12.8" hidden="false" customHeight="false" outlineLevel="0" collapsed="false">
      <c r="G3681" s="25"/>
      <c r="H3681" s="475"/>
      <c r="J3681" s="462"/>
    </row>
    <row r="3682" customFormat="false" ht="12.8" hidden="false" customHeight="false" outlineLevel="0" collapsed="false">
      <c r="G3682" s="25"/>
      <c r="H3682" s="475"/>
      <c r="J3682" s="462"/>
    </row>
    <row r="3683" customFormat="false" ht="12.8" hidden="false" customHeight="false" outlineLevel="0" collapsed="false">
      <c r="G3683" s="25"/>
      <c r="H3683" s="475"/>
      <c r="J3683" s="462"/>
    </row>
    <row r="3684" customFormat="false" ht="12.8" hidden="false" customHeight="false" outlineLevel="0" collapsed="false">
      <c r="G3684" s="25"/>
      <c r="H3684" s="475"/>
    </row>
    <row r="3685" customFormat="false" ht="12.8" hidden="false" customHeight="false" outlineLevel="0" collapsed="false">
      <c r="G3685" s="25"/>
      <c r="H3685" s="475"/>
    </row>
    <row r="3686" customFormat="false" ht="12.8" hidden="false" customHeight="false" outlineLevel="0" collapsed="false">
      <c r="G3686" s="25"/>
      <c r="H3686" s="475"/>
    </row>
    <row r="3687" customFormat="false" ht="12.8" hidden="false" customHeight="false" outlineLevel="0" collapsed="false">
      <c r="G3687" s="25"/>
      <c r="H3687" s="475"/>
    </row>
    <row r="3688" customFormat="false" ht="12.8" hidden="false" customHeight="false" outlineLevel="0" collapsed="false">
      <c r="G3688" s="25"/>
      <c r="H3688" s="475"/>
      <c r="J3688" s="462"/>
    </row>
    <row r="3689" customFormat="false" ht="12.8" hidden="false" customHeight="false" outlineLevel="0" collapsed="false">
      <c r="G3689" s="25"/>
      <c r="H3689" s="475"/>
      <c r="J3689" s="462"/>
    </row>
    <row r="3690" customFormat="false" ht="12.8" hidden="false" customHeight="false" outlineLevel="0" collapsed="false">
      <c r="G3690" s="25"/>
      <c r="H3690" s="475"/>
      <c r="J3690" s="462"/>
    </row>
    <row r="3691" customFormat="false" ht="12.8" hidden="false" customHeight="false" outlineLevel="0" collapsed="false">
      <c r="G3691" s="25"/>
      <c r="H3691" s="475"/>
      <c r="J3691" s="462"/>
    </row>
    <row r="3692" customFormat="false" ht="12.8" hidden="false" customHeight="false" outlineLevel="0" collapsed="false">
      <c r="G3692" s="25"/>
      <c r="H3692" s="475"/>
    </row>
    <row r="3693" customFormat="false" ht="12.8" hidden="false" customHeight="false" outlineLevel="0" collapsed="false">
      <c r="G3693" s="25"/>
      <c r="H3693" s="475"/>
    </row>
    <row r="3694" customFormat="false" ht="12.8" hidden="false" customHeight="false" outlineLevel="0" collapsed="false">
      <c r="G3694" s="25"/>
      <c r="H3694" s="475"/>
      <c r="J3694" s="462"/>
    </row>
    <row r="3695" customFormat="false" ht="12.8" hidden="false" customHeight="false" outlineLevel="0" collapsed="false">
      <c r="G3695" s="25"/>
      <c r="H3695" s="475"/>
      <c r="J3695" s="462"/>
    </row>
    <row r="3696" customFormat="false" ht="12.8" hidden="false" customHeight="false" outlineLevel="0" collapsed="false">
      <c r="G3696" s="25"/>
      <c r="H3696" s="475"/>
      <c r="J3696" s="462"/>
    </row>
    <row r="3697" customFormat="false" ht="12.8" hidden="false" customHeight="false" outlineLevel="0" collapsed="false">
      <c r="G3697" s="25"/>
      <c r="H3697" s="475"/>
    </row>
    <row r="3698" customFormat="false" ht="12.8" hidden="false" customHeight="false" outlineLevel="0" collapsed="false">
      <c r="G3698" s="25"/>
      <c r="H3698" s="475"/>
    </row>
    <row r="3699" customFormat="false" ht="12.8" hidden="false" customHeight="false" outlineLevel="0" collapsed="false">
      <c r="G3699" s="25"/>
      <c r="H3699" s="475"/>
      <c r="J3699" s="462"/>
    </row>
    <row r="3700" customFormat="false" ht="12.8" hidden="false" customHeight="false" outlineLevel="0" collapsed="false">
      <c r="G3700" s="25"/>
      <c r="H3700" s="475"/>
      <c r="J3700" s="462"/>
    </row>
    <row r="3701" customFormat="false" ht="12.8" hidden="false" customHeight="false" outlineLevel="0" collapsed="false">
      <c r="G3701" s="25"/>
      <c r="H3701" s="475"/>
    </row>
    <row r="3702" customFormat="false" ht="12.8" hidden="false" customHeight="false" outlineLevel="0" collapsed="false">
      <c r="G3702" s="25"/>
      <c r="H3702" s="475"/>
    </row>
    <row r="3703" customFormat="false" ht="12.8" hidden="false" customHeight="false" outlineLevel="0" collapsed="false">
      <c r="G3703" s="25"/>
      <c r="H3703" s="475"/>
    </row>
    <row r="3704" customFormat="false" ht="12.8" hidden="false" customHeight="false" outlineLevel="0" collapsed="false">
      <c r="G3704" s="25"/>
      <c r="H3704" s="475"/>
      <c r="J3704" s="462"/>
    </row>
    <row r="3705" customFormat="false" ht="12.8" hidden="false" customHeight="false" outlineLevel="0" collapsed="false">
      <c r="G3705" s="25"/>
      <c r="H3705" s="475"/>
      <c r="J3705" s="462"/>
    </row>
    <row r="3706" customFormat="false" ht="12.8" hidden="false" customHeight="false" outlineLevel="0" collapsed="false">
      <c r="G3706" s="25"/>
      <c r="H3706" s="475"/>
      <c r="J3706" s="462"/>
    </row>
    <row r="3707" customFormat="false" ht="12.8" hidden="false" customHeight="false" outlineLevel="0" collapsed="false">
      <c r="G3707" s="25"/>
      <c r="H3707" s="475"/>
      <c r="J3707" s="462"/>
    </row>
    <row r="3708" customFormat="false" ht="12.8" hidden="false" customHeight="false" outlineLevel="0" collapsed="false">
      <c r="G3708" s="25"/>
      <c r="H3708" s="475"/>
      <c r="J3708" s="462"/>
    </row>
    <row r="3709" customFormat="false" ht="12.8" hidden="false" customHeight="false" outlineLevel="0" collapsed="false">
      <c r="G3709" s="25"/>
      <c r="H3709" s="475"/>
      <c r="J3709" s="462"/>
    </row>
    <row r="3710" customFormat="false" ht="12.8" hidden="false" customHeight="false" outlineLevel="0" collapsed="false">
      <c r="G3710" s="25"/>
      <c r="H3710" s="475"/>
      <c r="J3710" s="462"/>
    </row>
    <row r="3711" customFormat="false" ht="12.8" hidden="false" customHeight="false" outlineLevel="0" collapsed="false">
      <c r="G3711" s="25"/>
      <c r="H3711" s="475"/>
    </row>
    <row r="3712" customFormat="false" ht="12.8" hidden="false" customHeight="false" outlineLevel="0" collapsed="false">
      <c r="G3712" s="25"/>
      <c r="H3712" s="475"/>
    </row>
    <row r="3713" customFormat="false" ht="12.8" hidden="false" customHeight="false" outlineLevel="0" collapsed="false">
      <c r="G3713" s="25"/>
      <c r="H3713" s="475"/>
    </row>
    <row r="3714" customFormat="false" ht="12.8" hidden="false" customHeight="false" outlineLevel="0" collapsed="false">
      <c r="G3714" s="25"/>
      <c r="H3714" s="475"/>
      <c r="J3714" s="462"/>
    </row>
    <row r="3715" customFormat="false" ht="12.8" hidden="false" customHeight="false" outlineLevel="0" collapsed="false">
      <c r="G3715" s="25"/>
      <c r="H3715" s="475"/>
      <c r="J3715" s="462"/>
    </row>
    <row r="3716" customFormat="false" ht="12.8" hidden="false" customHeight="false" outlineLevel="0" collapsed="false">
      <c r="G3716" s="25"/>
      <c r="H3716" s="475"/>
      <c r="J3716" s="462"/>
    </row>
    <row r="3717" customFormat="false" ht="12.8" hidden="false" customHeight="false" outlineLevel="0" collapsed="false">
      <c r="G3717" s="25"/>
      <c r="H3717" s="475"/>
    </row>
    <row r="3718" customFormat="false" ht="12.8" hidden="false" customHeight="false" outlineLevel="0" collapsed="false">
      <c r="G3718" s="25"/>
      <c r="H3718" s="475"/>
    </row>
    <row r="3719" customFormat="false" ht="12.8" hidden="false" customHeight="false" outlineLevel="0" collapsed="false">
      <c r="G3719" s="25"/>
      <c r="H3719" s="475"/>
      <c r="J3719" s="462"/>
    </row>
    <row r="3720" customFormat="false" ht="12.8" hidden="false" customHeight="false" outlineLevel="0" collapsed="false">
      <c r="G3720" s="25"/>
      <c r="H3720" s="475"/>
      <c r="J3720" s="462"/>
    </row>
    <row r="3721" customFormat="false" ht="12.8" hidden="false" customHeight="false" outlineLevel="0" collapsed="false">
      <c r="G3721" s="25"/>
      <c r="H3721" s="475"/>
      <c r="J3721" s="462"/>
    </row>
    <row r="3722" customFormat="false" ht="12.8" hidden="false" customHeight="false" outlineLevel="0" collapsed="false">
      <c r="G3722" s="25"/>
      <c r="H3722" s="475"/>
    </row>
    <row r="3723" customFormat="false" ht="12.8" hidden="false" customHeight="false" outlineLevel="0" collapsed="false">
      <c r="G3723" s="25"/>
      <c r="H3723" s="475"/>
      <c r="J3723" s="462"/>
    </row>
    <row r="3724" customFormat="false" ht="12.8" hidden="false" customHeight="false" outlineLevel="0" collapsed="false">
      <c r="G3724" s="25"/>
      <c r="H3724" s="475"/>
      <c r="J3724" s="462"/>
    </row>
    <row r="3725" customFormat="false" ht="12.8" hidden="false" customHeight="false" outlineLevel="0" collapsed="false">
      <c r="G3725" s="25"/>
      <c r="H3725" s="475"/>
      <c r="J3725" s="462"/>
    </row>
    <row r="3726" customFormat="false" ht="12.8" hidden="false" customHeight="false" outlineLevel="0" collapsed="false">
      <c r="G3726" s="25"/>
      <c r="H3726" s="475"/>
    </row>
    <row r="3727" customFormat="false" ht="12.8" hidden="false" customHeight="false" outlineLevel="0" collapsed="false">
      <c r="G3727" s="25"/>
      <c r="H3727" s="475"/>
      <c r="J3727" s="462"/>
    </row>
    <row r="3728" customFormat="false" ht="12.8" hidden="false" customHeight="false" outlineLevel="0" collapsed="false">
      <c r="G3728" s="25"/>
      <c r="H3728" s="475"/>
      <c r="J3728" s="462"/>
    </row>
    <row r="3729" customFormat="false" ht="12.8" hidden="false" customHeight="false" outlineLevel="0" collapsed="false">
      <c r="G3729" s="25"/>
      <c r="H3729" s="475"/>
    </row>
    <row r="3730" customFormat="false" ht="12.8" hidden="false" customHeight="false" outlineLevel="0" collapsed="false">
      <c r="G3730" s="25"/>
      <c r="H3730" s="475"/>
    </row>
    <row r="3731" customFormat="false" ht="12.8" hidden="false" customHeight="false" outlineLevel="0" collapsed="false">
      <c r="G3731" s="25"/>
      <c r="H3731" s="475"/>
      <c r="J3731" s="462"/>
    </row>
    <row r="3732" customFormat="false" ht="12.8" hidden="false" customHeight="false" outlineLevel="0" collapsed="false">
      <c r="G3732" s="25"/>
      <c r="H3732" s="475"/>
      <c r="J3732" s="462"/>
    </row>
    <row r="3733" customFormat="false" ht="12.8" hidden="false" customHeight="false" outlineLevel="0" collapsed="false">
      <c r="G3733" s="25"/>
      <c r="H3733" s="475"/>
      <c r="J3733" s="462"/>
    </row>
    <row r="3734" customFormat="false" ht="12.8" hidden="false" customHeight="false" outlineLevel="0" collapsed="false">
      <c r="G3734" s="25"/>
      <c r="H3734" s="475"/>
    </row>
    <row r="3735" customFormat="false" ht="12.8" hidden="false" customHeight="false" outlineLevel="0" collapsed="false">
      <c r="G3735" s="25"/>
      <c r="H3735" s="475"/>
    </row>
    <row r="3736" customFormat="false" ht="12.8" hidden="false" customHeight="false" outlineLevel="0" collapsed="false">
      <c r="G3736" s="25"/>
      <c r="H3736" s="475"/>
      <c r="J3736" s="462"/>
    </row>
    <row r="3737" customFormat="false" ht="12.8" hidden="false" customHeight="false" outlineLevel="0" collapsed="false">
      <c r="G3737" s="25"/>
      <c r="H3737" s="475"/>
    </row>
    <row r="3738" customFormat="false" ht="12.8" hidden="false" customHeight="false" outlineLevel="0" collapsed="false">
      <c r="G3738" s="25"/>
      <c r="H3738" s="475"/>
    </row>
    <row r="3739" customFormat="false" ht="12.8" hidden="false" customHeight="false" outlineLevel="0" collapsed="false">
      <c r="G3739" s="25"/>
      <c r="H3739" s="475"/>
      <c r="J3739" s="462"/>
    </row>
    <row r="3740" customFormat="false" ht="12.8" hidden="false" customHeight="false" outlineLevel="0" collapsed="false">
      <c r="G3740" s="25"/>
      <c r="H3740" s="475"/>
      <c r="J3740" s="462"/>
    </row>
    <row r="3741" customFormat="false" ht="12.8" hidden="false" customHeight="false" outlineLevel="0" collapsed="false">
      <c r="G3741" s="25"/>
      <c r="H3741" s="475"/>
    </row>
    <row r="3742" customFormat="false" ht="12.8" hidden="false" customHeight="false" outlineLevel="0" collapsed="false">
      <c r="G3742" s="25"/>
      <c r="H3742" s="475"/>
    </row>
    <row r="3743" customFormat="false" ht="12.8" hidden="false" customHeight="false" outlineLevel="0" collapsed="false">
      <c r="G3743" s="25"/>
      <c r="H3743" s="475"/>
      <c r="J3743" s="462"/>
    </row>
    <row r="3744" customFormat="false" ht="12.8" hidden="false" customHeight="false" outlineLevel="0" collapsed="false">
      <c r="G3744" s="25"/>
      <c r="H3744" s="475"/>
      <c r="J3744" s="462"/>
    </row>
  </sheetData>
  <mergeCells count="1">
    <mergeCell ref="G1:J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3447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2023-04-26T12:21:01Z</dcterms:created>
  <dc:creator/>
  <dc:description/>
  <dc:language>en-US</dc:language>
  <cp:lastModifiedBy/>
  <dcterms:modified xsi:type="dcterms:W3CDTF">2023-08-11T06:12:27Z</dcterms:modified>
  <cp:revision>2333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