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5" sheetId="5" r:id="rId5"/>
  </sheets>
  <calcPr calcId="145621"/>
</workbook>
</file>

<file path=xl/calcChain.xml><?xml version="1.0" encoding="utf-8"?>
<calcChain xmlns="http://schemas.openxmlformats.org/spreadsheetml/2006/main">
  <c r="H13" i="2" l="1"/>
  <c r="D13" i="2" s="1"/>
  <c r="H12" i="2"/>
  <c r="D12" i="2" s="1"/>
  <c r="H11" i="2"/>
  <c r="E11" i="2" s="1"/>
  <c r="H14" i="2"/>
  <c r="E14" i="2" s="1"/>
  <c r="E13" i="2"/>
  <c r="E15" i="2"/>
  <c r="D14" i="2"/>
  <c r="D15" i="2"/>
  <c r="C12" i="2"/>
  <c r="C13" i="2"/>
  <c r="C14" i="2"/>
  <c r="C15" i="2"/>
  <c r="C11" i="2"/>
  <c r="B12" i="2"/>
  <c r="B13" i="2"/>
  <c r="B14" i="2"/>
  <c r="B15" i="2"/>
  <c r="B11" i="2"/>
  <c r="E7" i="2"/>
  <c r="E5" i="2"/>
  <c r="E6" i="2"/>
  <c r="E8" i="2"/>
  <c r="E4" i="2"/>
  <c r="D8" i="2"/>
  <c r="D7" i="2"/>
  <c r="D6" i="2"/>
  <c r="D5" i="2"/>
  <c r="D4" i="2"/>
  <c r="C8" i="2"/>
  <c r="C7" i="2"/>
  <c r="C6" i="2"/>
  <c r="C5" i="2"/>
  <c r="C4" i="2"/>
  <c r="B8" i="2"/>
  <c r="B7" i="2"/>
  <c r="K7" i="2" s="1"/>
  <c r="B6" i="2"/>
  <c r="B5" i="2"/>
  <c r="B4" i="2"/>
  <c r="J8" i="2"/>
  <c r="J7" i="2"/>
  <c r="J6" i="2"/>
  <c r="J5" i="2"/>
  <c r="J4" i="2"/>
  <c r="I8" i="2"/>
  <c r="I7" i="2"/>
  <c r="I6" i="2"/>
  <c r="I5" i="2"/>
  <c r="I4" i="2"/>
  <c r="H8" i="2"/>
  <c r="H7" i="2"/>
  <c r="H6" i="2"/>
  <c r="H5" i="2"/>
  <c r="H4" i="2"/>
  <c r="O4" i="4"/>
  <c r="P4" i="4"/>
  <c r="Q4" i="4"/>
  <c r="O5" i="4"/>
  <c r="P5" i="4"/>
  <c r="Q5" i="4"/>
  <c r="O6" i="4"/>
  <c r="P6" i="4"/>
  <c r="Q6" i="4"/>
  <c r="O7" i="4"/>
  <c r="P7" i="4"/>
  <c r="Q7" i="4"/>
  <c r="P3" i="4"/>
  <c r="Q3" i="4"/>
  <c r="O3" i="4"/>
  <c r="K10" i="4"/>
  <c r="L10" i="4"/>
  <c r="M10" i="4"/>
  <c r="K11" i="4"/>
  <c r="L11" i="4"/>
  <c r="M11" i="4"/>
  <c r="K12" i="4"/>
  <c r="L12" i="4"/>
  <c r="M12" i="4"/>
  <c r="K13" i="4"/>
  <c r="L13" i="4"/>
  <c r="M13" i="4"/>
  <c r="L9" i="4"/>
  <c r="M9" i="4"/>
  <c r="K9" i="4"/>
  <c r="K3" i="4"/>
  <c r="K4" i="4"/>
  <c r="L4" i="4"/>
  <c r="M4" i="4"/>
  <c r="K5" i="4"/>
  <c r="L5" i="4"/>
  <c r="M5" i="4"/>
  <c r="K6" i="4"/>
  <c r="L6" i="4"/>
  <c r="M6" i="4"/>
  <c r="K7" i="4"/>
  <c r="L7" i="4"/>
  <c r="M7" i="4"/>
  <c r="L3" i="4"/>
  <c r="M3" i="4"/>
  <c r="E12" i="2" l="1"/>
  <c r="O12" i="2" s="1"/>
  <c r="D11" i="2"/>
  <c r="M8" i="2"/>
  <c r="K4" i="2"/>
  <c r="K8" i="2"/>
  <c r="L7" i="2"/>
  <c r="N7" i="2" s="1"/>
  <c r="O15" i="2"/>
  <c r="O13" i="2"/>
  <c r="M6" i="2"/>
  <c r="L6" i="2"/>
  <c r="M5" i="2"/>
  <c r="K5" i="2"/>
  <c r="L4" i="2"/>
  <c r="L8" i="2"/>
  <c r="M7" i="2"/>
  <c r="K6" i="2"/>
  <c r="L5" i="2"/>
  <c r="M4" i="2"/>
  <c r="N13" i="2" l="1"/>
  <c r="N14" i="2"/>
  <c r="N15" i="2"/>
  <c r="N6" i="2"/>
  <c r="N5" i="2"/>
  <c r="O11" i="2"/>
  <c r="N11" i="2"/>
  <c r="N12" i="2"/>
  <c r="N8" i="2"/>
  <c r="O14" i="2"/>
  <c r="N4" i="2"/>
</calcChain>
</file>

<file path=xl/sharedStrings.xml><?xml version="1.0" encoding="utf-8"?>
<sst xmlns="http://schemas.openxmlformats.org/spreadsheetml/2006/main" count="72" uniqueCount="59">
  <si>
    <t>test1</t>
  </si>
  <si>
    <t>I</t>
  </si>
  <si>
    <t>P</t>
  </si>
  <si>
    <t>B</t>
  </si>
  <si>
    <t>test2</t>
  </si>
  <si>
    <t>test3</t>
  </si>
  <si>
    <t>test4</t>
  </si>
  <si>
    <t>test5</t>
  </si>
  <si>
    <t>KKZ</t>
  </si>
  <si>
    <t>Random</t>
  </si>
  <si>
    <t>FastNN</t>
  </si>
  <si>
    <t>Simple</t>
  </si>
  <si>
    <t>YI</t>
  </si>
  <si>
    <t>YU</t>
  </si>
  <si>
    <t>YV</t>
  </si>
  <si>
    <t>JM</t>
  </si>
  <si>
    <t>VQ</t>
  </si>
  <si>
    <t>PI</t>
  </si>
  <si>
    <t>PU</t>
  </si>
  <si>
    <t>PV</t>
  </si>
  <si>
    <t>BI</t>
  </si>
  <si>
    <t>BU</t>
  </si>
  <si>
    <t>BV</t>
  </si>
  <si>
    <t xml:space="preserve">	 43,00</t>
  </si>
  <si>
    <t xml:space="preserve">45,22 		</t>
  </si>
  <si>
    <t xml:space="preserve">	 40,38</t>
  </si>
  <si>
    <t xml:space="preserve">44,71		</t>
  </si>
  <si>
    <t xml:space="preserve">	 38,00</t>
  </si>
  <si>
    <t xml:space="preserve">44,90		</t>
  </si>
  <si>
    <t xml:space="preserve">	 46,55</t>
  </si>
  <si>
    <t xml:space="preserve">48,05		</t>
  </si>
  <si>
    <t xml:space="preserve">	 44,78</t>
  </si>
  <si>
    <t xml:space="preserve">50,29		</t>
  </si>
  <si>
    <t>Context</t>
  </si>
  <si>
    <t>#I</t>
  </si>
  <si>
    <t>#P</t>
  </si>
  <si>
    <t>#B</t>
  </si>
  <si>
    <t>#Frames</t>
  </si>
  <si>
    <t>I Period</t>
  </si>
  <si>
    <t>P Period</t>
  </si>
  <si>
    <t>B Period</t>
  </si>
  <si>
    <t>H.264 Coeffs</t>
  </si>
  <si>
    <t>WIDTH*HEIGHT</t>
  </si>
  <si>
    <t>I bits</t>
  </si>
  <si>
    <t>P bits</t>
  </si>
  <si>
    <t>B bits</t>
  </si>
  <si>
    <t>I Y Vectors</t>
  </si>
  <si>
    <t>I UV Vectors</t>
  </si>
  <si>
    <t>P Y Vectors</t>
  </si>
  <si>
    <t xml:space="preserve"> P UV Vectors</t>
  </si>
  <si>
    <t>I Y entropy</t>
  </si>
  <si>
    <t>I UV Entropy</t>
  </si>
  <si>
    <t>P Y Entropy</t>
  </si>
  <si>
    <t>P UV Entropy</t>
  </si>
  <si>
    <t>JM H.264 Total Mbits</t>
  </si>
  <si>
    <t>VQ H.264 Total Mbits Context</t>
  </si>
  <si>
    <t>VQ H.264 Total Mbits Simple</t>
  </si>
  <si>
    <t>Skiped I</t>
  </si>
  <si>
    <t>Skiped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</si>
</sst>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 vs VQ H.264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JM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Φύλλο2!$N$4:$N$8</c:f>
              <c:numCache>
                <c:formatCode>0.00</c:formatCode>
                <c:ptCount val="5"/>
                <c:pt idx="0">
                  <c:v>157.63921580000002</c:v>
                </c:pt>
                <c:pt idx="1">
                  <c:v>79.45514</c:v>
                </c:pt>
                <c:pt idx="2">
                  <c:v>151.36055019999998</c:v>
                </c:pt>
                <c:pt idx="3">
                  <c:v>401.76932799999997</c:v>
                </c:pt>
                <c:pt idx="4">
                  <c:v>49.943605599999991</c:v>
                </c:pt>
              </c:numCache>
            </c:numRef>
          </c:val>
        </c:ser>
        <c:ser>
          <c:idx val="1"/>
          <c:order val="1"/>
          <c:tx>
            <c:v>VQ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Φύλλο2!$O$11:$O$15</c:f>
              <c:numCache>
                <c:formatCode>0.00</c:formatCode>
                <c:ptCount val="5"/>
                <c:pt idx="0">
                  <c:v>142.09276833587199</c:v>
                </c:pt>
                <c:pt idx="1">
                  <c:v>93.049750342655997</c:v>
                </c:pt>
                <c:pt idx="2">
                  <c:v>128.81204880895999</c:v>
                </c:pt>
                <c:pt idx="3">
                  <c:v>440.38156677734401</c:v>
                </c:pt>
                <c:pt idx="4">
                  <c:v>58.160359586303997</c:v>
                </c:pt>
              </c:numCache>
            </c:numRef>
          </c:val>
        </c:ser>
        <c:ser>
          <c:idx val="2"/>
          <c:order val="2"/>
          <c:tx>
            <c:v>VQ Context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Φύλλο2!$N$11:$N$15</c:f>
              <c:numCache>
                <c:formatCode>0.00</c:formatCode>
                <c:ptCount val="5"/>
                <c:pt idx="0">
                  <c:v>101.656576</c:v>
                </c:pt>
                <c:pt idx="1">
                  <c:v>66.559488000000002</c:v>
                </c:pt>
                <c:pt idx="2">
                  <c:v>92.172799999999995</c:v>
                </c:pt>
                <c:pt idx="3">
                  <c:v>327.54229248000001</c:v>
                </c:pt>
                <c:pt idx="4">
                  <c:v>41.645311999999997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4704"/>
        <c:axId val="91287488"/>
      </c:barChart>
      <c:catAx>
        <c:axId val="521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videos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287488"/>
        <c:crosses val="autoZero"/>
        <c:auto val="1"/>
        <c:lblAlgn val="ctr"/>
        <c:lblOffset val="100"/>
        <c:noMultiLvlLbl val="0"/>
      </c:catAx>
      <c:valAx>
        <c:axId val="912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residuals</a:t>
                </a:r>
                <a:r>
                  <a:rPr lang="en-US" baseline="0"/>
                  <a:t> bits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210470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185737</xdr:rowOff>
    </xdr:from>
    <xdr:to>
      <xdr:col>9</xdr:col>
      <xdr:colOff>552449</xdr:colOff>
      <xdr:row>21</xdr:row>
      <xdr:rowOff>0</xdr:rowOff>
    </xdr:to>
    <xdr:graphicFrame macro="">
      <xdr:nvGraphicFramePr>
        <xdr:cNvPr id="3" name="Γράφημα 2" title="VQ H.264 vs JM H.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5"/>
    </sheetView>
  </sheetViews>
  <sheetFormatPr defaultRowHeight="15" x14ac:dyDescent="0.25"/>
  <cols>
    <col min="1" max="2" width="13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11" sqref="N11"/>
    </sheetView>
  </sheetViews>
  <sheetFormatPr defaultRowHeight="15" x14ac:dyDescent="0.25"/>
  <cols>
    <col min="1" max="1" width="8" style="1" bestFit="1" customWidth="1"/>
    <col min="2" max="2" width="11.28515625" style="1" customWidth="1"/>
    <col min="3" max="3" width="12.42578125" style="1" customWidth="1"/>
    <col min="4" max="4" width="11.5703125" style="1" bestFit="1" customWidth="1"/>
    <col min="5" max="5" width="14.5703125" style="1" bestFit="1" customWidth="1"/>
    <col min="6" max="6" width="11.42578125" style="1" bestFit="1" customWidth="1"/>
    <col min="7" max="8" width="12.7109375" style="1" customWidth="1"/>
    <col min="9" max="9" width="11.5703125" style="1" bestFit="1" customWidth="1"/>
    <col min="10" max="13" width="12.5703125" style="1" bestFit="1" customWidth="1"/>
    <col min="14" max="14" width="27.28515625" style="1" bestFit="1" customWidth="1"/>
    <col min="15" max="15" width="26.42578125" style="1" bestFit="1" customWidth="1"/>
    <col min="16" max="16" width="12.42578125" style="1" bestFit="1" customWidth="1"/>
    <col min="17" max="16384" width="9.140625" style="1"/>
  </cols>
  <sheetData>
    <row r="1" spans="1:15" x14ac:dyDescent="0.25">
      <c r="H1" s="1" t="s">
        <v>38</v>
      </c>
      <c r="I1" s="1" t="s">
        <v>39</v>
      </c>
      <c r="J1" s="1" t="s">
        <v>40</v>
      </c>
    </row>
    <row r="2" spans="1:15" x14ac:dyDescent="0.25">
      <c r="A2" s="3" t="s">
        <v>41</v>
      </c>
      <c r="B2" s="3"/>
      <c r="C2" s="3"/>
      <c r="D2" s="3"/>
      <c r="H2" s="1">
        <v>1</v>
      </c>
      <c r="I2" s="1">
        <v>4</v>
      </c>
      <c r="J2" s="1">
        <v>10</v>
      </c>
    </row>
    <row r="3" spans="1:15" x14ac:dyDescent="0.25">
      <c r="B3" s="1" t="s">
        <v>1</v>
      </c>
      <c r="C3" s="1" t="s">
        <v>2</v>
      </c>
      <c r="D3" s="1" t="s">
        <v>3</v>
      </c>
      <c r="E3" s="1" t="s">
        <v>42</v>
      </c>
      <c r="G3" s="1" t="s">
        <v>37</v>
      </c>
      <c r="H3" s="1" t="s">
        <v>34</v>
      </c>
      <c r="I3" s="1" t="s">
        <v>35</v>
      </c>
      <c r="J3" s="1" t="s">
        <v>36</v>
      </c>
      <c r="K3" s="1" t="s">
        <v>43</v>
      </c>
      <c r="L3" s="1" t="s">
        <v>44</v>
      </c>
      <c r="M3" s="1" t="s">
        <v>45</v>
      </c>
      <c r="N3" s="1" t="s">
        <v>54</v>
      </c>
    </row>
    <row r="4" spans="1:15" x14ac:dyDescent="0.25">
      <c r="A4" s="1" t="s">
        <v>0</v>
      </c>
      <c r="B4" s="1">
        <f>158614+64733</f>
        <v>223347</v>
      </c>
      <c r="C4" s="1">
        <f>226192+54178</f>
        <v>280370</v>
      </c>
      <c r="D4" s="1">
        <f>272195+65296</f>
        <v>337491</v>
      </c>
      <c r="E4" s="1">
        <f>832*480</f>
        <v>399360</v>
      </c>
      <c r="G4" s="1">
        <v>501</v>
      </c>
      <c r="H4" s="1">
        <f>H2*G4/15</f>
        <v>33.4</v>
      </c>
      <c r="I4" s="1">
        <f>I2*G4/15</f>
        <v>133.6</v>
      </c>
      <c r="J4" s="1">
        <f>J2*G4/15</f>
        <v>334</v>
      </c>
      <c r="K4" s="1">
        <f>B4*H4</f>
        <v>7459789.7999999998</v>
      </c>
      <c r="L4" s="1">
        <f>C4*I4</f>
        <v>37457432</v>
      </c>
      <c r="M4" s="1">
        <f>D4*J4</f>
        <v>112721994</v>
      </c>
      <c r="N4" s="1">
        <f>SUM(K4,L4,M4)/10^6</f>
        <v>157.63921580000002</v>
      </c>
    </row>
    <row r="5" spans="1:15" x14ac:dyDescent="0.25">
      <c r="A5" s="1" t="s">
        <v>4</v>
      </c>
      <c r="B5" s="1">
        <f>215759+45416</f>
        <v>261175</v>
      </c>
      <c r="C5" s="1">
        <f>258979+45724</f>
        <v>304703</v>
      </c>
      <c r="D5" s="1">
        <f>216775+32502</f>
        <v>249277</v>
      </c>
      <c r="E5" s="1">
        <f t="shared" ref="E5:E8" si="0">832*480</f>
        <v>399360</v>
      </c>
      <c r="G5" s="1">
        <v>300</v>
      </c>
      <c r="H5" s="1">
        <f>H2*G5/15</f>
        <v>20</v>
      </c>
      <c r="I5" s="1">
        <f>I2*G5/15</f>
        <v>80</v>
      </c>
      <c r="J5" s="1">
        <f>J2*G5/15</f>
        <v>200</v>
      </c>
      <c r="K5" s="1">
        <f>B5*H5</f>
        <v>5223500</v>
      </c>
      <c r="L5" s="1">
        <f>C5*I5</f>
        <v>24376240</v>
      </c>
      <c r="M5" s="1">
        <f>D5*J5</f>
        <v>49855400</v>
      </c>
      <c r="N5" s="1">
        <f t="shared" ref="N5:N8" si="1">SUM(K5,L5,M5)/10^6</f>
        <v>79.45514</v>
      </c>
    </row>
    <row r="6" spans="1:15" x14ac:dyDescent="0.25">
      <c r="A6" s="1" t="s">
        <v>5</v>
      </c>
      <c r="B6" s="1">
        <f>333036+43921</f>
        <v>376957</v>
      </c>
      <c r="C6" s="1">
        <f>324953+37681</f>
        <v>362634</v>
      </c>
      <c r="D6" s="1">
        <f>242620+27806</f>
        <v>270426</v>
      </c>
      <c r="E6" s="1">
        <f t="shared" si="0"/>
        <v>399360</v>
      </c>
      <c r="G6" s="1">
        <v>501</v>
      </c>
      <c r="H6" s="1">
        <f>H2*G6/15</f>
        <v>33.4</v>
      </c>
      <c r="I6" s="1">
        <f>I2*G6/15</f>
        <v>133.6</v>
      </c>
      <c r="J6" s="1">
        <f>J2*G6/15</f>
        <v>334</v>
      </c>
      <c r="K6" s="1">
        <f>B6*H6</f>
        <v>12590363.799999999</v>
      </c>
      <c r="L6" s="1">
        <f>C6*I6</f>
        <v>48447902.399999999</v>
      </c>
      <c r="M6" s="1">
        <f>D6*J6</f>
        <v>90322284</v>
      </c>
      <c r="N6" s="1">
        <f t="shared" si="1"/>
        <v>151.36055019999998</v>
      </c>
    </row>
    <row r="7" spans="1:15" x14ac:dyDescent="0.25">
      <c r="A7" s="1" t="s">
        <v>6</v>
      </c>
      <c r="B7" s="1">
        <f>1368215+284814</f>
        <v>1653029</v>
      </c>
      <c r="C7" s="1">
        <f>1387631+228765</f>
        <v>1616396</v>
      </c>
      <c r="D7" s="1">
        <f>1473003+226194</f>
        <v>1699197</v>
      </c>
      <c r="E7" s="1">
        <f>1920*1080</f>
        <v>2073600</v>
      </c>
      <c r="G7" s="1">
        <v>240</v>
      </c>
      <c r="H7" s="1">
        <f>H2*G7/15</f>
        <v>16</v>
      </c>
      <c r="I7" s="1">
        <f>I2*G7/15</f>
        <v>64</v>
      </c>
      <c r="J7" s="1">
        <f>J2*G7/15</f>
        <v>160</v>
      </c>
      <c r="K7" s="1">
        <f>B7*H7</f>
        <v>26448464</v>
      </c>
      <c r="L7" s="1">
        <f>C7*I7</f>
        <v>103449344</v>
      </c>
      <c r="M7" s="1">
        <f>D7*J7</f>
        <v>271871520</v>
      </c>
      <c r="N7" s="1">
        <f t="shared" si="1"/>
        <v>401.76932799999997</v>
      </c>
    </row>
    <row r="8" spans="1:15" x14ac:dyDescent="0.25">
      <c r="A8" s="1" t="s">
        <v>7</v>
      </c>
      <c r="B8" s="1">
        <f>117554+15196</f>
        <v>132750</v>
      </c>
      <c r="C8" s="1">
        <f>121495+10281</f>
        <v>131776</v>
      </c>
      <c r="D8" s="1">
        <f>161701+21202</f>
        <v>182903</v>
      </c>
      <c r="E8" s="1">
        <f t="shared" si="0"/>
        <v>399360</v>
      </c>
      <c r="G8" s="1">
        <v>301</v>
      </c>
      <c r="H8" s="1">
        <f>H2*G8/15</f>
        <v>20.066666666666666</v>
      </c>
      <c r="I8" s="1">
        <f>I2*G8/15</f>
        <v>80.266666666666666</v>
      </c>
      <c r="J8" s="1">
        <f>J2*G8/15</f>
        <v>200.66666666666666</v>
      </c>
      <c r="K8" s="1">
        <f>B8*H8</f>
        <v>2663850</v>
      </c>
      <c r="L8" s="1">
        <f>C8*I8</f>
        <v>10577220.266666666</v>
      </c>
      <c r="M8" s="1">
        <f>D8*J8</f>
        <v>36702535.333333328</v>
      </c>
      <c r="N8" s="1">
        <f t="shared" si="1"/>
        <v>49.943605599999991</v>
      </c>
    </row>
    <row r="10" spans="1:15" x14ac:dyDescent="0.25">
      <c r="B10" s="1" t="s">
        <v>46</v>
      </c>
      <c r="C10" s="1" t="s">
        <v>47</v>
      </c>
      <c r="D10" s="1" t="s">
        <v>48</v>
      </c>
      <c r="E10" s="1" t="s">
        <v>49</v>
      </c>
      <c r="G10" s="1" t="s">
        <v>57</v>
      </c>
      <c r="H10" s="1" t="s">
        <v>58</v>
      </c>
      <c r="N10" s="1" t="s">
        <v>55</v>
      </c>
      <c r="O10" s="1" t="s">
        <v>56</v>
      </c>
    </row>
    <row r="11" spans="1:15" x14ac:dyDescent="0.25">
      <c r="A11" s="1" t="s">
        <v>0</v>
      </c>
      <c r="B11" s="4">
        <f>H4*E4/16-16*G11</f>
        <v>833664</v>
      </c>
      <c r="C11" s="4">
        <f>H4*E4*0.5/16-16*G11</f>
        <v>416832</v>
      </c>
      <c r="D11" s="4">
        <f>(I4+J4)*E4/16-16*H11</f>
        <v>8646112</v>
      </c>
      <c r="E11" s="4">
        <f>0.5*(I4+J4)*E4/16-16*H11</f>
        <v>2810464</v>
      </c>
      <c r="G11" s="1">
        <v>0</v>
      </c>
      <c r="H11" s="1">
        <f>163884+25190</f>
        <v>189074</v>
      </c>
      <c r="N11" s="1">
        <f>16*(B21*B11+C21*C11+D21*D11+E21*E11)/10^6</f>
        <v>101.656576</v>
      </c>
      <c r="O11" s="1">
        <f>16*(F21*B11+G21*C11+H21*D11+I21*E11)/10^6</f>
        <v>142.09276833587199</v>
      </c>
    </row>
    <row r="12" spans="1:15" x14ac:dyDescent="0.25">
      <c r="A12" s="1" t="s">
        <v>4</v>
      </c>
      <c r="B12" s="4">
        <f t="shared" ref="B12:B15" si="2">H5*E5/16-16*G12</f>
        <v>499200</v>
      </c>
      <c r="C12" s="4">
        <f t="shared" ref="C12:C15" si="3">H5*E5*0.5/16-16*G12</f>
        <v>249600</v>
      </c>
      <c r="D12" s="4">
        <f t="shared" ref="D12:D15" si="4">(I5+J5)*E5/16-16*H12</f>
        <v>5532768</v>
      </c>
      <c r="E12" s="4">
        <f t="shared" ref="E12:E15" si="5">0.5*(I5+J5)*E5/16-16*H12</f>
        <v>2038368</v>
      </c>
      <c r="G12" s="1">
        <v>0</v>
      </c>
      <c r="H12" s="1">
        <f>86128+4874</f>
        <v>91002</v>
      </c>
      <c r="N12" s="1">
        <f>16*(B22*B12+C22*C12+D22*D12+E22*E12)/10^6</f>
        <v>66.559488000000002</v>
      </c>
      <c r="O12" s="1">
        <f>16*(F22*B12+G22*C12+H22*D12+I22*E12)/10^6</f>
        <v>93.049750342655997</v>
      </c>
    </row>
    <row r="13" spans="1:15" x14ac:dyDescent="0.25">
      <c r="A13" s="1" t="s">
        <v>5</v>
      </c>
      <c r="B13" s="4">
        <f t="shared" si="2"/>
        <v>833664</v>
      </c>
      <c r="C13" s="4">
        <f t="shared" si="3"/>
        <v>416832</v>
      </c>
      <c r="D13" s="4">
        <f t="shared" si="4"/>
        <v>8053376</v>
      </c>
      <c r="E13" s="4">
        <f t="shared" si="5"/>
        <v>2217728</v>
      </c>
      <c r="G13" s="1">
        <v>0</v>
      </c>
      <c r="H13" s="1">
        <f>218535+7585</f>
        <v>226120</v>
      </c>
      <c r="N13" s="1">
        <f t="shared" ref="N13:N15" si="6">16*(B23*B13+C23*C13+D23*D13+E23*E13)/10^6</f>
        <v>92.172799999999995</v>
      </c>
      <c r="O13" s="1">
        <f t="shared" ref="O13:O15" si="7">16*(F23*B13+G23*C13+H23*D13+I23*E13)/10^6</f>
        <v>128.81204880895999</v>
      </c>
    </row>
    <row r="14" spans="1:15" x14ac:dyDescent="0.25">
      <c r="A14" s="1" t="s">
        <v>6</v>
      </c>
      <c r="B14" s="4">
        <f t="shared" si="2"/>
        <v>2073600</v>
      </c>
      <c r="C14" s="4">
        <f t="shared" si="3"/>
        <v>1036800</v>
      </c>
      <c r="D14" s="4">
        <f t="shared" si="4"/>
        <v>25386432</v>
      </c>
      <c r="E14" s="4">
        <f t="shared" si="5"/>
        <v>10871232</v>
      </c>
      <c r="G14" s="1">
        <v>0</v>
      </c>
      <c r="H14" s="1">
        <f>224304+3444</f>
        <v>227748</v>
      </c>
      <c r="N14" s="1">
        <f t="shared" si="6"/>
        <v>327.54229248000001</v>
      </c>
      <c r="O14" s="1">
        <f t="shared" si="7"/>
        <v>440.38156677734401</v>
      </c>
    </row>
    <row r="15" spans="1:15" x14ac:dyDescent="0.25">
      <c r="A15" s="1" t="s">
        <v>7</v>
      </c>
      <c r="B15" s="4">
        <f t="shared" si="2"/>
        <v>500864</v>
      </c>
      <c r="C15" s="4">
        <f t="shared" si="3"/>
        <v>250432</v>
      </c>
      <c r="D15" s="4">
        <f t="shared" si="4"/>
        <v>3980208</v>
      </c>
      <c r="E15" s="4">
        <f t="shared" si="5"/>
        <v>474160</v>
      </c>
      <c r="G15" s="1">
        <v>0</v>
      </c>
      <c r="H15" s="1">
        <v>189493</v>
      </c>
      <c r="N15" s="1">
        <f t="shared" si="6"/>
        <v>41.645311999999997</v>
      </c>
      <c r="O15" s="1">
        <f t="shared" si="7"/>
        <v>58.160359586303997</v>
      </c>
    </row>
    <row r="17" spans="1:9" x14ac:dyDescent="0.25">
      <c r="A17" s="4"/>
    </row>
    <row r="20" spans="1:9" x14ac:dyDescent="0.25">
      <c r="B20" s="1" t="s">
        <v>50</v>
      </c>
      <c r="C20" s="1" t="s">
        <v>51</v>
      </c>
      <c r="D20" s="1" t="s">
        <v>52</v>
      </c>
      <c r="E20" s="1" t="s">
        <v>53</v>
      </c>
      <c r="F20" s="1" t="s">
        <v>50</v>
      </c>
      <c r="G20" s="1" t="s">
        <v>51</v>
      </c>
      <c r="H20" s="1" t="s">
        <v>52</v>
      </c>
      <c r="I20" s="1" t="s">
        <v>53</v>
      </c>
    </row>
    <row r="21" spans="1:9" x14ac:dyDescent="0.25">
      <c r="A21" s="1" t="s">
        <v>33</v>
      </c>
      <c r="B21" s="4">
        <v>0.5</v>
      </c>
      <c r="C21" s="1">
        <v>0.5</v>
      </c>
      <c r="D21" s="1">
        <v>0.5</v>
      </c>
      <c r="E21" s="1">
        <v>0.5</v>
      </c>
      <c r="F21" s="4">
        <v>0.712229</v>
      </c>
      <c r="G21" s="1">
        <v>0.74307100000000004</v>
      </c>
      <c r="H21" s="1">
        <v>0.692577</v>
      </c>
      <c r="I21" s="1">
        <v>0.707785</v>
      </c>
    </row>
    <row r="22" spans="1:9" x14ac:dyDescent="0.25">
      <c r="A22" s="1" t="s">
        <v>33</v>
      </c>
      <c r="B22" s="4">
        <v>0.5</v>
      </c>
      <c r="C22" s="1">
        <v>0.5</v>
      </c>
      <c r="D22" s="1">
        <v>0.5</v>
      </c>
      <c r="E22" s="1">
        <v>0.5</v>
      </c>
      <c r="F22" s="4">
        <v>0.712229</v>
      </c>
      <c r="G22" s="1">
        <v>0.74307100000000004</v>
      </c>
      <c r="H22" s="1">
        <v>0.692577</v>
      </c>
      <c r="I22" s="1">
        <v>0.707785</v>
      </c>
    </row>
    <row r="23" spans="1:9" x14ac:dyDescent="0.25">
      <c r="A23" s="1" t="s">
        <v>33</v>
      </c>
      <c r="B23" s="4">
        <v>0.5</v>
      </c>
      <c r="C23" s="1">
        <v>0.5</v>
      </c>
      <c r="D23" s="1">
        <v>0.5</v>
      </c>
      <c r="E23" s="1">
        <v>0.5</v>
      </c>
      <c r="F23" s="4">
        <v>0.712229</v>
      </c>
      <c r="G23" s="1">
        <v>0.74307100000000004</v>
      </c>
      <c r="H23" s="1">
        <v>0.692577</v>
      </c>
      <c r="I23" s="1">
        <v>0.707785</v>
      </c>
    </row>
    <row r="24" spans="1:9" x14ac:dyDescent="0.25">
      <c r="A24" s="1" t="s">
        <v>33</v>
      </c>
      <c r="B24" s="4">
        <v>0.52</v>
      </c>
      <c r="C24" s="4">
        <v>0.52</v>
      </c>
      <c r="D24" s="4">
        <v>0.52</v>
      </c>
      <c r="E24" s="4">
        <v>0.52</v>
      </c>
      <c r="F24" s="4">
        <v>0.712229</v>
      </c>
      <c r="G24" s="1">
        <v>0.74307100000000004</v>
      </c>
      <c r="H24" s="1">
        <v>0.692577</v>
      </c>
      <c r="I24" s="1">
        <v>0.707785</v>
      </c>
    </row>
    <row r="25" spans="1:9" x14ac:dyDescent="0.25">
      <c r="A25" s="1" t="s">
        <v>33</v>
      </c>
      <c r="B25" s="4">
        <v>0.5</v>
      </c>
      <c r="C25" s="1">
        <v>0.5</v>
      </c>
      <c r="D25" s="1">
        <v>0.5</v>
      </c>
      <c r="E25" s="1">
        <v>0.5</v>
      </c>
      <c r="F25" s="4">
        <v>0.712229</v>
      </c>
      <c r="G25" s="1">
        <v>0.74307100000000004</v>
      </c>
      <c r="H25" s="1">
        <v>0.692577</v>
      </c>
      <c r="I25" s="1">
        <v>0.707785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workbookViewId="0">
      <selection activeCell="E2" sqref="E2"/>
    </sheetView>
  </sheetViews>
  <sheetFormatPr defaultRowHeight="15" x14ac:dyDescent="0.25"/>
  <sheetData>
    <row r="1" spans="1:6" x14ac:dyDescent="0.25">
      <c r="B1" t="s">
        <v>8</v>
      </c>
      <c r="C1" t="s">
        <v>9</v>
      </c>
      <c r="E1" t="s">
        <v>10</v>
      </c>
      <c r="F1" t="s">
        <v>11</v>
      </c>
    </row>
    <row r="2" spans="1:6" x14ac:dyDescent="0.25">
      <c r="A2">
        <v>1</v>
      </c>
      <c r="B2" s="2">
        <v>147.5</v>
      </c>
      <c r="C2" s="2">
        <v>0.01</v>
      </c>
      <c r="E2">
        <v>9.6999999999999993</v>
      </c>
      <c r="F2">
        <v>61.4</v>
      </c>
    </row>
    <row r="3" spans="1:6" x14ac:dyDescent="0.25">
      <c r="A3">
        <v>2</v>
      </c>
      <c r="B3" s="2">
        <v>63.7</v>
      </c>
      <c r="C3" s="2">
        <v>5.0000000000000001E-3</v>
      </c>
      <c r="E3">
        <v>6.1</v>
      </c>
      <c r="F3">
        <v>31.2</v>
      </c>
    </row>
    <row r="4" spans="1:6" x14ac:dyDescent="0.25">
      <c r="A4">
        <v>4</v>
      </c>
      <c r="B4" s="2">
        <v>42.494</v>
      </c>
      <c r="C4" s="2">
        <v>3.0000000000000001E-3</v>
      </c>
      <c r="E4">
        <v>4.4000000000000004</v>
      </c>
      <c r="F4">
        <v>16.600000000000001</v>
      </c>
    </row>
    <row r="5" spans="1:6" x14ac:dyDescent="0.25">
      <c r="A5">
        <v>6</v>
      </c>
      <c r="B5" s="2">
        <v>36.738</v>
      </c>
      <c r="C5" s="2">
        <v>1E-3</v>
      </c>
      <c r="E5">
        <v>3.2</v>
      </c>
      <c r="F5">
        <v>12.3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11" sqref="M11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.140625" bestFit="1" customWidth="1"/>
    <col min="4" max="4" width="6" bestFit="1" customWidth="1"/>
    <col min="5" max="5" width="5.5703125" bestFit="1" customWidth="1"/>
    <col min="6" max="6" width="6" bestFit="1" customWidth="1"/>
    <col min="7" max="7" width="5.7109375" customWidth="1"/>
    <col min="8" max="10" width="5.5703125" bestFit="1" customWidth="1"/>
    <col min="11" max="11" width="7.28515625" bestFit="1" customWidth="1"/>
    <col min="12" max="13" width="5.5703125" bestFit="1" customWidth="1"/>
  </cols>
  <sheetData>
    <row r="1" spans="1:17" x14ac:dyDescent="0.25">
      <c r="D1" t="s">
        <v>15</v>
      </c>
    </row>
    <row r="2" spans="1:17" x14ac:dyDescent="0.25">
      <c r="A2" t="s">
        <v>12</v>
      </c>
      <c r="B2" t="s">
        <v>13</v>
      </c>
      <c r="C2" t="s">
        <v>14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1:17" x14ac:dyDescent="0.25">
      <c r="A3">
        <v>36.31</v>
      </c>
      <c r="B3">
        <v>38.880000000000003</v>
      </c>
      <c r="C3">
        <v>38.9</v>
      </c>
      <c r="D3">
        <v>42.01</v>
      </c>
      <c r="E3">
        <v>43.95</v>
      </c>
      <c r="F3">
        <v>44.54</v>
      </c>
      <c r="G3">
        <v>43.5</v>
      </c>
      <c r="H3">
        <v>44.75</v>
      </c>
      <c r="I3">
        <v>45.49</v>
      </c>
      <c r="K3">
        <f>0.66*A3+0.16*B3+0.16*C3</f>
        <v>36.409400000000005</v>
      </c>
      <c r="L3">
        <f t="shared" ref="L3:M3" si="0">0.66*B3+0.16*C3+0.16*D3</f>
        <v>38.606400000000001</v>
      </c>
      <c r="M3">
        <f t="shared" si="0"/>
        <v>39.427600000000005</v>
      </c>
      <c r="O3" s="1">
        <f>100*(K3-K9)/K3</f>
        <v>1.3952440853186336</v>
      </c>
      <c r="P3" s="1">
        <f t="shared" ref="P3:R3" si="1">100*(L3-L9)/L3</f>
        <v>-1.4028762070537408</v>
      </c>
      <c r="Q3" s="1">
        <f t="shared" si="1"/>
        <v>-0.92777648144952518</v>
      </c>
    </row>
    <row r="4" spans="1:17" x14ac:dyDescent="0.25">
      <c r="A4">
        <v>37.31</v>
      </c>
      <c r="B4">
        <v>38.43</v>
      </c>
      <c r="C4">
        <v>40</v>
      </c>
      <c r="D4">
        <v>40.5</v>
      </c>
      <c r="E4">
        <v>41.14</v>
      </c>
      <c r="F4">
        <v>42.24</v>
      </c>
      <c r="G4">
        <v>40.5</v>
      </c>
      <c r="H4">
        <v>41.45</v>
      </c>
      <c r="I4">
        <v>42.54</v>
      </c>
      <c r="K4">
        <f t="shared" ref="K4:K8" si="2">0.66*A4+0.16*B4+0.16*C4</f>
        <v>37.173400000000001</v>
      </c>
      <c r="L4">
        <f t="shared" ref="L4:L8" si="3">0.66*B4+0.16*C4+0.16*D4</f>
        <v>38.243800000000007</v>
      </c>
      <c r="M4">
        <f t="shared" ref="M4:M8" si="4">0.66*C4+0.16*D4+0.16*E4</f>
        <v>39.462400000000002</v>
      </c>
      <c r="O4" s="1">
        <f t="shared" ref="O4:O7" si="5">100*(K4-K10)/K4</f>
        <v>0.82854944664733332</v>
      </c>
      <c r="P4" s="1">
        <f t="shared" ref="P4:P7" si="6">100*(L4-L10)/L4</f>
        <v>-5.1098478707659609</v>
      </c>
      <c r="Q4" s="1">
        <f t="shared" ref="Q4:Q7" si="7">100*(M4-M10)/M4</f>
        <v>-4.230355984430739</v>
      </c>
    </row>
    <row r="5" spans="1:17" x14ac:dyDescent="0.25">
      <c r="A5">
        <v>33.94</v>
      </c>
      <c r="B5">
        <v>37.24</v>
      </c>
      <c r="C5">
        <v>37.85</v>
      </c>
      <c r="D5">
        <v>38.64</v>
      </c>
      <c r="E5">
        <v>40.75</v>
      </c>
      <c r="F5">
        <v>41.45</v>
      </c>
      <c r="G5">
        <v>38.450000000000003</v>
      </c>
      <c r="H5">
        <v>40.51</v>
      </c>
      <c r="I5">
        <v>41.25</v>
      </c>
      <c r="K5">
        <f t="shared" si="2"/>
        <v>34.4148</v>
      </c>
      <c r="L5">
        <f t="shared" si="3"/>
        <v>36.816800000000001</v>
      </c>
      <c r="M5">
        <f t="shared" si="4"/>
        <v>37.683400000000006</v>
      </c>
      <c r="O5" s="1">
        <f t="shared" si="5"/>
        <v>3.5310389716052275</v>
      </c>
      <c r="P5" s="1">
        <f t="shared" si="6"/>
        <v>-5.2139240781382483</v>
      </c>
      <c r="Q5" s="1">
        <f t="shared" si="7"/>
        <v>-5.4872967938137167</v>
      </c>
    </row>
    <row r="6" spans="1:17" x14ac:dyDescent="0.25">
      <c r="A6">
        <v>45.18</v>
      </c>
      <c r="B6">
        <v>46.83</v>
      </c>
      <c r="C6">
        <v>47.86</v>
      </c>
      <c r="D6">
        <v>45.75</v>
      </c>
      <c r="E6">
        <v>47.13</v>
      </c>
      <c r="F6">
        <v>48.18</v>
      </c>
      <c r="G6">
        <v>46.1</v>
      </c>
      <c r="H6">
        <v>47.29</v>
      </c>
      <c r="I6">
        <v>48.21</v>
      </c>
      <c r="K6">
        <f t="shared" si="2"/>
        <v>44.969200000000001</v>
      </c>
      <c r="L6">
        <f t="shared" si="3"/>
        <v>45.885400000000004</v>
      </c>
      <c r="M6">
        <f t="shared" si="4"/>
        <v>46.448400000000007</v>
      </c>
      <c r="O6" s="1">
        <f t="shared" si="5"/>
        <v>1.3493680118837046</v>
      </c>
      <c r="P6" s="1">
        <f t="shared" si="6"/>
        <v>-0.86694242613118022</v>
      </c>
      <c r="Q6" s="1">
        <f t="shared" si="7"/>
        <v>-0.18127642717509235</v>
      </c>
    </row>
    <row r="7" spans="1:17" x14ac:dyDescent="0.25">
      <c r="A7">
        <v>39.200000000000003</v>
      </c>
      <c r="B7">
        <v>46.76</v>
      </c>
      <c r="C7">
        <v>47.34</v>
      </c>
      <c r="D7">
        <v>43.94</v>
      </c>
      <c r="E7">
        <v>47.66</v>
      </c>
      <c r="F7">
        <v>48.28</v>
      </c>
      <c r="G7">
        <v>45.14</v>
      </c>
      <c r="H7">
        <v>49.29</v>
      </c>
      <c r="I7">
        <v>49.76</v>
      </c>
      <c r="K7">
        <f t="shared" si="2"/>
        <v>40.927999999999997</v>
      </c>
      <c r="L7">
        <f t="shared" si="3"/>
        <v>45.4664</v>
      </c>
      <c r="M7">
        <f t="shared" si="4"/>
        <v>45.900399999999998</v>
      </c>
      <c r="O7" s="1">
        <f t="shared" si="5"/>
        <v>1.686376075058633</v>
      </c>
      <c r="P7" s="1">
        <f t="shared" si="6"/>
        <v>-5.3771576372881968</v>
      </c>
      <c r="Q7" s="1">
        <f t="shared" si="7"/>
        <v>-2.7572744464100669</v>
      </c>
    </row>
    <row r="8" spans="1:17" x14ac:dyDescent="0.25">
      <c r="D8" t="s">
        <v>16</v>
      </c>
    </row>
    <row r="9" spans="1:17" x14ac:dyDescent="0.25">
      <c r="A9">
        <v>35.15</v>
      </c>
      <c r="B9">
        <v>39.72</v>
      </c>
      <c r="C9">
        <v>39.67</v>
      </c>
      <c r="D9">
        <v>41.16</v>
      </c>
      <c r="E9">
        <v>43.91</v>
      </c>
      <c r="F9">
        <v>43.87</v>
      </c>
      <c r="G9" t="s">
        <v>23</v>
      </c>
      <c r="H9">
        <v>45.14</v>
      </c>
      <c r="I9" t="s">
        <v>24</v>
      </c>
      <c r="K9">
        <f>0.66*A9+0.16*B9+0.16*C9</f>
        <v>35.901400000000002</v>
      </c>
      <c r="L9">
        <f t="shared" ref="L9:M9" si="8">0.66*B9+0.16*C9+0.16*D9</f>
        <v>39.147999999999996</v>
      </c>
      <c r="M9">
        <f t="shared" si="8"/>
        <v>39.793399999999998</v>
      </c>
    </row>
    <row r="10" spans="1:17" x14ac:dyDescent="0.25">
      <c r="A10">
        <v>35.51</v>
      </c>
      <c r="B10">
        <v>41.1</v>
      </c>
      <c r="C10">
        <v>42.83</v>
      </c>
      <c r="D10">
        <v>38.869999999999997</v>
      </c>
      <c r="E10">
        <v>41.53</v>
      </c>
      <c r="F10">
        <v>43.28</v>
      </c>
      <c r="G10" t="s">
        <v>25</v>
      </c>
      <c r="H10">
        <v>43.01</v>
      </c>
      <c r="I10" t="s">
        <v>26</v>
      </c>
      <c r="K10">
        <f t="shared" ref="K10:K13" si="9">0.66*A10+0.16*B10+0.16*C10</f>
        <v>36.865400000000001</v>
      </c>
      <c r="L10">
        <f t="shared" ref="L10:L13" si="10">0.66*B10+0.16*C10+0.16*D10</f>
        <v>40.198</v>
      </c>
      <c r="M10">
        <f t="shared" ref="M10:M13" si="11">0.66*C10+0.16*D10+0.16*E10</f>
        <v>41.131799999999998</v>
      </c>
    </row>
    <row r="11" spans="1:17" x14ac:dyDescent="0.25">
      <c r="A11">
        <v>30.7</v>
      </c>
      <c r="B11">
        <v>39.86</v>
      </c>
      <c r="C11">
        <v>41</v>
      </c>
      <c r="D11">
        <v>36.68</v>
      </c>
      <c r="E11">
        <v>42.64</v>
      </c>
      <c r="F11">
        <v>43.76</v>
      </c>
      <c r="G11" t="s">
        <v>27</v>
      </c>
      <c r="H11">
        <v>43.74</v>
      </c>
      <c r="I11" t="s">
        <v>28</v>
      </c>
      <c r="K11">
        <f t="shared" si="9"/>
        <v>33.199600000000004</v>
      </c>
      <c r="L11">
        <f t="shared" si="10"/>
        <v>38.736400000000003</v>
      </c>
      <c r="M11">
        <f t="shared" si="11"/>
        <v>39.751200000000004</v>
      </c>
    </row>
    <row r="12" spans="1:17" x14ac:dyDescent="0.25">
      <c r="A12">
        <v>44.12</v>
      </c>
      <c r="B12">
        <v>47.36</v>
      </c>
      <c r="C12">
        <v>47.91</v>
      </c>
      <c r="D12">
        <v>46</v>
      </c>
      <c r="E12">
        <v>47.2</v>
      </c>
      <c r="F12">
        <v>47.75</v>
      </c>
      <c r="G12" t="s">
        <v>29</v>
      </c>
      <c r="H12">
        <v>47.42</v>
      </c>
      <c r="I12" t="s">
        <v>30</v>
      </c>
      <c r="K12">
        <f t="shared" si="9"/>
        <v>44.362399999999994</v>
      </c>
      <c r="L12">
        <f t="shared" si="10"/>
        <v>46.283200000000001</v>
      </c>
      <c r="M12">
        <f t="shared" si="11"/>
        <v>46.532600000000002</v>
      </c>
    </row>
    <row r="13" spans="1:17" x14ac:dyDescent="0.25">
      <c r="A13">
        <v>37.01</v>
      </c>
      <c r="B13">
        <v>50.12</v>
      </c>
      <c r="C13">
        <v>48.7</v>
      </c>
      <c r="D13">
        <v>44</v>
      </c>
      <c r="E13">
        <v>49.9</v>
      </c>
      <c r="F13">
        <v>49.65</v>
      </c>
      <c r="G13" t="s">
        <v>31</v>
      </c>
      <c r="H13">
        <v>50.46</v>
      </c>
      <c r="I13" t="s">
        <v>32</v>
      </c>
      <c r="K13">
        <f t="shared" si="9"/>
        <v>40.2378</v>
      </c>
      <c r="L13">
        <f t="shared" si="10"/>
        <v>47.911200000000001</v>
      </c>
      <c r="M13">
        <f t="shared" si="11"/>
        <v>47.166000000000004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Φύλλο2</vt:lpstr>
      <vt:lpstr>Φύλλο3</vt:lpstr>
      <vt:lpstr>Φύλλο4</vt:lpstr>
      <vt:lpstr>Φύλλο5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Kalos</dc:creator>
  <cp:lastModifiedBy>Petros Kalos</cp:lastModifiedBy>
  <dcterms:created xsi:type="dcterms:W3CDTF">2013-06-20T13:53:54Z</dcterms:created>
  <dcterms:modified xsi:type="dcterms:W3CDTF">2013-06-21T16:43:28Z</dcterms:modified>
</cp:coreProperties>
</file>